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85" yWindow="-15" windowWidth="9630" windowHeight="8640" tabRatio="850"/>
  </bookViews>
  <sheets>
    <sheet name="Quarterly Statement" sheetId="51" r:id="rId1"/>
    <sheet name="Quarterly Analysis Statement" sheetId="84" r:id="rId2"/>
    <sheet name="Top Level" sheetId="40" r:id="rId3"/>
    <sheet name="Data Entry" sheetId="47" r:id="rId4"/>
    <sheet name="Bank Accounts" sheetId="2" r:id="rId5"/>
    <sheet name="Chart of Accounts" sheetId="36" r:id="rId6"/>
    <sheet name="Home Show-Blank" sheetId="81" state="hidden" r:id="rId7"/>
    <sheet name="Home Show-Raffle Tickets" sheetId="75" state="hidden" r:id="rId8"/>
    <sheet name="Home Show-Admission Tickets" sheetId="76" state="hidden" r:id="rId9"/>
    <sheet name="Home Show-Program Books" sheetId="77" state="hidden" r:id="rId10"/>
    <sheet name="Home Show-5050 Raffle" sheetId="78" state="hidden" r:id="rId11"/>
    <sheet name="Home Show-Concessions" sheetId="79" state="hidden" r:id="rId12"/>
    <sheet name="Home Show-Merchandise" sheetId="80" state="hidden" r:id="rId13"/>
  </sheets>
  <definedNames>
    <definedName name="_xlnm._FilterDatabase" localSheetId="3" hidden="1">'Data Entry'!$B$7:$J$34</definedName>
    <definedName name="Accounts">'Chart of Accounts'!$B$5:$C$20</definedName>
    <definedName name="BankAccounts">'Bank Accounts'!$B$9:$L$22</definedName>
    <definedName name="BegBal1">'Bank Accounts'!$E$9</definedName>
    <definedName name="BegBal2">'Bank Accounts'!$H$9</definedName>
    <definedName name="BegPrincipal" localSheetId="1">'Top Level'!#REF!</definedName>
    <definedName name="BegPrincipal">'Top Level'!#REF!</definedName>
    <definedName name="Chart">'Chart of Accounts'!$B$5:$C$20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3">'Data Entry'!$4:$7</definedName>
    <definedName name="PrudentPct">'Top Level'!$E$10</definedName>
    <definedName name="QtrAvgRange">'Chart of Accounts'!$L$5</definedName>
    <definedName name="QtrRollingAvgPct">'Chart of Accounts'!$L$7</definedName>
    <definedName name="QtrsAvg">'Top Level'!$E$12</definedName>
    <definedName name="QtrSumAvg">'Chart of Accounts'!$L$6</definedName>
    <definedName name="QtrTitle">'Chart of Accounts'!$L$4</definedName>
    <definedName name="QtrTop">'Chart of Accounts'!$J$11</definedName>
    <definedName name="Reserve">'Top Level'!$E$8</definedName>
    <definedName name="rptbanknum">OFFSET('Data Entry'!$D$8,0,0,COUNT('Data Entry'!$D:$D),1)</definedName>
    <definedName name="RptMonths">OFFSET('Data Entry'!$C$8,0,0,COUNT('Data Entry'!$C:$C),1)</definedName>
    <definedName name="SumAccount">'Data Entry'!$F$8:$F$35</definedName>
    <definedName name="SumBank">'Data Entry'!$D$8:$D$35</definedName>
    <definedName name="SumExp">'Data Entry'!$I$8:$I$35</definedName>
    <definedName name="SumMonth">'Data Entry'!$B$8:$B$35</definedName>
    <definedName name="SumMonthNum">'Data Entry'!$C$8:$C$35</definedName>
    <definedName name="SumQ1">'Chart of Accounts'!$G$4:$I$4</definedName>
    <definedName name="SumQ2">'Chart of Accounts'!$G$5:$I$5</definedName>
    <definedName name="SumQ3">'Chart of Accounts'!$G$6:$I$6</definedName>
    <definedName name="SumQ4">'Chart of Accounts'!$G$7:$I$7</definedName>
    <definedName name="SumRevenue">'Data Entry'!$H$8:$H$35</definedName>
  </definedNames>
  <calcPr calcId="144525"/>
</workbook>
</file>

<file path=xl/calcChain.xml><?xml version="1.0" encoding="utf-8"?>
<calcChain xmlns="http://schemas.openxmlformats.org/spreadsheetml/2006/main">
  <c r="E18" i="47" l="1"/>
  <c r="G18" i="47"/>
  <c r="E19" i="47"/>
  <c r="G19" i="47"/>
  <c r="A4" i="51" l="1"/>
  <c r="G7" i="51"/>
  <c r="I7" i="51"/>
  <c r="K7" i="51"/>
  <c r="C8" i="51"/>
  <c r="C9" i="51"/>
  <c r="G11" i="51"/>
  <c r="I11" i="51"/>
  <c r="K11" i="51"/>
  <c r="F16" i="51"/>
  <c r="H16" i="51"/>
  <c r="J16" i="51"/>
  <c r="C17" i="51"/>
  <c r="F17" i="51"/>
  <c r="H17" i="51"/>
  <c r="J17" i="51"/>
  <c r="F18" i="51"/>
  <c r="H18" i="51"/>
  <c r="J18" i="51"/>
  <c r="G12" i="47" l="1"/>
  <c r="E12" i="47"/>
  <c r="A4" i="84"/>
  <c r="C33" i="84" l="1"/>
  <c r="C32" i="84"/>
  <c r="C31" i="84"/>
  <c r="C27" i="84"/>
  <c r="C26" i="84"/>
  <c r="C25" i="84"/>
  <c r="C17" i="84"/>
  <c r="J16" i="84"/>
  <c r="J17" i="84" s="1"/>
  <c r="J18" i="84" s="1"/>
  <c r="H16" i="84"/>
  <c r="H17" i="84" s="1"/>
  <c r="H18" i="84" s="1"/>
  <c r="F16" i="84"/>
  <c r="F17" i="84" s="1"/>
  <c r="F18" i="84" s="1"/>
  <c r="C9" i="84"/>
  <c r="C8" i="84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7" i="47"/>
  <c r="E16" i="47"/>
  <c r="E15" i="47"/>
  <c r="E14" i="47"/>
  <c r="E13" i="47"/>
  <c r="E11" i="47"/>
  <c r="E10" i="47"/>
  <c r="E9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7" i="47"/>
  <c r="G16" i="47"/>
  <c r="G15" i="47"/>
  <c r="G14" i="47"/>
  <c r="G13" i="47"/>
  <c r="G11" i="47"/>
  <c r="G10" i="47"/>
  <c r="G9" i="47"/>
  <c r="G8" i="47"/>
  <c r="E8" i="47"/>
  <c r="H27" i="2" l="1"/>
  <c r="L4" i="36" l="1"/>
  <c r="B20" i="51" s="1"/>
  <c r="L5" i="36"/>
  <c r="L6" i="36"/>
  <c r="B20" i="84" l="1"/>
  <c r="L7" i="36"/>
  <c r="K20" i="51" s="1"/>
  <c r="K20" i="84" l="1"/>
  <c r="H36" i="47"/>
  <c r="I36" i="47" l="1"/>
  <c r="H31" i="2" l="1"/>
  <c r="F27" i="2"/>
  <c r="C27" i="2" l="1"/>
  <c r="A4" i="2" l="1"/>
  <c r="B4" i="47"/>
  <c r="C27" i="51"/>
  <c r="E27" i="2" l="1"/>
  <c r="E31" i="2" s="1"/>
  <c r="C26" i="51"/>
  <c r="K8" i="2"/>
  <c r="J8" i="2"/>
  <c r="C32" i="51"/>
  <c r="C33" i="51"/>
  <c r="C31" i="51"/>
  <c r="K24" i="51"/>
  <c r="C25" i="51"/>
  <c r="I7" i="36"/>
  <c r="H7" i="36"/>
  <c r="G7" i="36"/>
  <c r="I6" i="36"/>
  <c r="A18" i="2" s="1"/>
  <c r="K18" i="2" s="1"/>
  <c r="H6" i="36"/>
  <c r="A17" i="2" s="1"/>
  <c r="K17" i="2" s="1"/>
  <c r="G6" i="36"/>
  <c r="I5" i="36"/>
  <c r="A15" i="2" s="1"/>
  <c r="K15" i="2" s="1"/>
  <c r="H5" i="36"/>
  <c r="A14" i="2" s="1"/>
  <c r="K14" i="2" s="1"/>
  <c r="G5" i="36"/>
  <c r="I4" i="36"/>
  <c r="H4" i="36"/>
  <c r="G4" i="36"/>
  <c r="F7" i="2"/>
  <c r="C7" i="2"/>
  <c r="A13" i="2" l="1"/>
  <c r="K13" i="2" s="1"/>
  <c r="G33" i="84"/>
  <c r="G31" i="84"/>
  <c r="G32" i="84"/>
  <c r="G27" i="84"/>
  <c r="G26" i="84"/>
  <c r="G25" i="84"/>
  <c r="K33" i="84"/>
  <c r="K31" i="84"/>
  <c r="K32" i="84"/>
  <c r="K27" i="84"/>
  <c r="K26" i="84"/>
  <c r="K25" i="84"/>
  <c r="E32" i="84"/>
  <c r="E26" i="84"/>
  <c r="E25" i="84"/>
  <c r="E33" i="84"/>
  <c r="E31" i="84"/>
  <c r="E27" i="84"/>
  <c r="A16" i="2"/>
  <c r="K16" i="2" s="1"/>
  <c r="I32" i="84"/>
  <c r="I33" i="84"/>
  <c r="I31" i="84"/>
  <c r="I27" i="84"/>
  <c r="I26" i="84"/>
  <c r="I25" i="84"/>
  <c r="A11" i="2"/>
  <c r="A10" i="2"/>
  <c r="D10" i="2" s="1"/>
  <c r="K11" i="84"/>
  <c r="G11" i="84"/>
  <c r="I11" i="84"/>
  <c r="A12" i="2"/>
  <c r="K12" i="2" s="1"/>
  <c r="A19" i="2"/>
  <c r="K19" i="2" s="1"/>
  <c r="A21" i="2"/>
  <c r="K21" i="2" s="1"/>
  <c r="A20" i="2"/>
  <c r="K20" i="2" s="1"/>
  <c r="C10" i="2"/>
  <c r="J10" i="2"/>
  <c r="K11" i="2"/>
  <c r="J11" i="2"/>
  <c r="G11" i="2"/>
  <c r="J19" i="2"/>
  <c r="J17" i="2"/>
  <c r="J15" i="2"/>
  <c r="J13" i="2"/>
  <c r="K10" i="2"/>
  <c r="J20" i="2"/>
  <c r="J18" i="2"/>
  <c r="J14" i="2"/>
  <c r="E24" i="51"/>
  <c r="I24" i="51"/>
  <c r="I27" i="51" s="1"/>
  <c r="G24" i="51"/>
  <c r="G27" i="51" s="1"/>
  <c r="C6" i="40"/>
  <c r="J12" i="2" l="1"/>
  <c r="J16" i="2"/>
  <c r="J21" i="2"/>
  <c r="L26" i="84"/>
  <c r="L32" i="84"/>
  <c r="L33" i="84"/>
  <c r="L25" i="84"/>
  <c r="L27" i="84"/>
  <c r="L31" i="84"/>
  <c r="E26" i="51"/>
  <c r="E31" i="51"/>
  <c r="E27" i="51"/>
  <c r="G25" i="51"/>
  <c r="G26" i="51"/>
  <c r="I26" i="51"/>
  <c r="I25" i="51"/>
  <c r="G33" i="51"/>
  <c r="E33" i="51"/>
  <c r="E32" i="51"/>
  <c r="G31" i="51"/>
  <c r="G32" i="51"/>
  <c r="I31" i="51"/>
  <c r="I32" i="51"/>
  <c r="E25" i="51"/>
  <c r="K22" i="2"/>
  <c r="I33" i="51"/>
  <c r="J22" i="2" l="1"/>
  <c r="I34" i="84"/>
  <c r="G28" i="84"/>
  <c r="E34" i="84"/>
  <c r="E28" i="84"/>
  <c r="G34" i="84"/>
  <c r="I28" i="84"/>
  <c r="K25" i="51"/>
  <c r="K26" i="51"/>
  <c r="K33" i="51"/>
  <c r="K32" i="51"/>
  <c r="K31" i="51"/>
  <c r="K27" i="51"/>
  <c r="G36" i="84" l="1"/>
  <c r="E36" i="84"/>
  <c r="I36" i="84"/>
  <c r="K34" i="84"/>
  <c r="L34" i="84" s="1"/>
  <c r="K28" i="84"/>
  <c r="L28" i="84" s="1"/>
  <c r="K36" i="84" l="1"/>
  <c r="L36" i="84" s="1"/>
  <c r="F20" i="2"/>
  <c r="D20" i="2"/>
  <c r="C20" i="2"/>
  <c r="G20" i="2"/>
  <c r="F12" i="2"/>
  <c r="D12" i="2"/>
  <c r="G12" i="2"/>
  <c r="C12" i="2"/>
  <c r="G17" i="2"/>
  <c r="C17" i="2"/>
  <c r="F17" i="2"/>
  <c r="D17" i="2"/>
  <c r="F16" i="2"/>
  <c r="D16" i="2"/>
  <c r="G16" i="2"/>
  <c r="C16" i="2"/>
  <c r="G21" i="2"/>
  <c r="C21" i="2"/>
  <c r="F21" i="2"/>
  <c r="D21" i="2"/>
  <c r="G13" i="2"/>
  <c r="C13" i="2"/>
  <c r="F13" i="2"/>
  <c r="D13" i="2"/>
  <c r="F18" i="2"/>
  <c r="D18" i="2"/>
  <c r="G18" i="2"/>
  <c r="C18" i="2"/>
  <c r="F14" i="2"/>
  <c r="D14" i="2"/>
  <c r="G14" i="2"/>
  <c r="C14" i="2"/>
  <c r="G19" i="2"/>
  <c r="C19" i="2"/>
  <c r="F19" i="2"/>
  <c r="D19" i="2"/>
  <c r="G15" i="2"/>
  <c r="C15" i="2"/>
  <c r="F15" i="2"/>
  <c r="D15" i="2"/>
  <c r="C11" i="2"/>
  <c r="F11" i="2"/>
  <c r="D11" i="2"/>
  <c r="F10" i="2"/>
  <c r="G10" i="2"/>
  <c r="E10" i="2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E8" i="79"/>
  <c r="A9" i="79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9" i="76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H10" i="2" l="1"/>
  <c r="L10" i="2"/>
  <c r="E11" i="2"/>
  <c r="G22" i="2"/>
  <c r="F22" i="2"/>
  <c r="H11" i="2" l="1"/>
  <c r="E12" i="2"/>
  <c r="L11" i="2"/>
  <c r="E8" i="84" l="1"/>
  <c r="H12" i="2"/>
  <c r="E13" i="2"/>
  <c r="L12" i="2"/>
  <c r="C22" i="2"/>
  <c r="D22" i="2"/>
  <c r="E14" i="2" l="1"/>
  <c r="E9" i="84"/>
  <c r="E10" i="84" s="1"/>
  <c r="E15" i="84"/>
  <c r="H13" i="2"/>
  <c r="L13" i="2"/>
  <c r="I34" i="51"/>
  <c r="I28" i="51"/>
  <c r="K34" i="51"/>
  <c r="G34" i="51"/>
  <c r="E15" i="2" l="1"/>
  <c r="L14" i="2"/>
  <c r="E16" i="84"/>
  <c r="E17" i="84" s="1"/>
  <c r="E18" i="84" s="1"/>
  <c r="H14" i="2"/>
  <c r="I36" i="51"/>
  <c r="E16" i="2" l="1"/>
  <c r="G8" i="84"/>
  <c r="L15" i="2"/>
  <c r="H15" i="2"/>
  <c r="E17" i="2"/>
  <c r="H16" i="2" l="1"/>
  <c r="G15" i="84"/>
  <c r="L16" i="2"/>
  <c r="G9" i="84"/>
  <c r="G10" i="84" s="1"/>
  <c r="G12" i="84" s="1"/>
  <c r="E18" i="2"/>
  <c r="E8" i="51" s="1"/>
  <c r="H17" i="2" l="1"/>
  <c r="I8" i="84"/>
  <c r="L17" i="2"/>
  <c r="G16" i="84"/>
  <c r="G17" i="84" s="1"/>
  <c r="G18" i="84" s="1"/>
  <c r="E19" i="2"/>
  <c r="G8" i="51" s="1"/>
  <c r="E34" i="51"/>
  <c r="H18" i="2" l="1"/>
  <c r="L18" i="2"/>
  <c r="E20" i="2"/>
  <c r="I8" i="51" s="1"/>
  <c r="E28" i="51"/>
  <c r="K28" i="51"/>
  <c r="K36" i="51" s="1"/>
  <c r="G28" i="51"/>
  <c r="G36" i="51" s="1"/>
  <c r="H19" i="2" l="1"/>
  <c r="E9" i="51"/>
  <c r="E10" i="51" s="1"/>
  <c r="E15" i="51"/>
  <c r="I9" i="84"/>
  <c r="I10" i="84" s="1"/>
  <c r="I12" i="84" s="1"/>
  <c r="I15" i="84"/>
  <c r="L19" i="2"/>
  <c r="G15" i="51" s="1"/>
  <c r="E21" i="2"/>
  <c r="K8" i="51" s="1"/>
  <c r="E36" i="51"/>
  <c r="E22" i="2"/>
  <c r="E16" i="51" l="1"/>
  <c r="E17" i="51" s="1"/>
  <c r="E18" i="51" s="1"/>
  <c r="B21" i="51"/>
  <c r="H20" i="2"/>
  <c r="H21" i="2" s="1"/>
  <c r="G9" i="51"/>
  <c r="G10" i="51" s="1"/>
  <c r="E32" i="2"/>
  <c r="I16" i="84"/>
  <c r="I17" i="84" s="1"/>
  <c r="I18" i="84" s="1"/>
  <c r="E12" i="84"/>
  <c r="B21" i="84"/>
  <c r="K8" i="84"/>
  <c r="E6" i="2"/>
  <c r="L20" i="2"/>
  <c r="I15" i="51" s="1"/>
  <c r="E25" i="2"/>
  <c r="H22" i="2"/>
  <c r="K10" i="84" l="1"/>
  <c r="K12" i="84" s="1"/>
  <c r="K9" i="84"/>
  <c r="K9" i="51"/>
  <c r="K10" i="51" s="1"/>
  <c r="K12" i="51" s="1"/>
  <c r="H6" i="2"/>
  <c r="G16" i="51"/>
  <c r="G17" i="51" s="1"/>
  <c r="G18" i="51" s="1"/>
  <c r="G12" i="51"/>
  <c r="I9" i="51"/>
  <c r="I10" i="51" s="1"/>
  <c r="L21" i="2"/>
  <c r="K15" i="51" s="1"/>
  <c r="K16" i="51" l="1"/>
  <c r="K17" i="51" s="1"/>
  <c r="K18" i="51" s="1"/>
  <c r="I12" i="51"/>
  <c r="I16" i="51"/>
  <c r="I17" i="51" s="1"/>
  <c r="I18" i="51" s="1"/>
  <c r="L22" i="2"/>
  <c r="K15" i="84"/>
  <c r="K16" i="84" s="1"/>
  <c r="K17" i="84" s="1"/>
  <c r="K18" i="84" s="1"/>
  <c r="H25" i="2"/>
  <c r="H32" i="2"/>
</calcChain>
</file>

<file path=xl/comments1.xml><?xml version="1.0" encoding="utf-8"?>
<comments xmlns="http://schemas.openxmlformats.org/spreadsheetml/2006/main">
  <authors>
    <author>Dawn Jacobson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<sst xmlns="http://schemas.openxmlformats.org/spreadsheetml/2006/main" count="284" uniqueCount="187">
  <si>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</si>
  <si>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</si>
  <si>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</si>
  <si>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</si>
  <si>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</si>
  <si>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</si>
  <si>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</si>
  <si>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</si>
  <si>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</si>
  <si>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</si>
  <si>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</si>
  <si>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</si>
  <si>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</si>
  <si>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</si>
  <si>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</si>
  <si>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</si>
  <si>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</si>
  <si>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</si>
  <si>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</si>
  <si>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</si>
  <si>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</si>
  <si>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</si>
  <si>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</si>
  <si>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</si>
  <si>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</si>
  <si>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</si>
  <si>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</si>
  <si>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</si>
  <si>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</si>
  <si>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</si>
  <si>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</si>
  <si>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</si>
  <si>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</si>
  <si>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</si>
  <si>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</si>
  <si>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</si>
  <si>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</si>
  <si>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</si>
  <si>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</si>
  <si>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</si>
  <si>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</si>
  <si>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</si>
  <si>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</si>
  <si>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</si>
  <si>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</si>
  <si>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</si>
  <si>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</si>
  <si>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</si>
  <si>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</si>
  <si>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</si>
  <si>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</si>
  <si>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</si>
  <si>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Fidelity Investments</t>
  </si>
  <si>
    <t>Racine Community Foundation</t>
  </si>
  <si>
    <t>4000:  Income</t>
  </si>
  <si>
    <t>Interest</t>
  </si>
  <si>
    <t>Fund Expenses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</si>
  <si>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</si>
  <si>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</si>
  <si>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</si>
  <si>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</si>
  <si>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</si>
  <si>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</si>
  <si>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</si>
  <si>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</si>
  <si>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</si>
  <si>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</si>
  <si>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</si>
  <si>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</si>
  <si>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</si>
  <si>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</si>
  <si>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</si>
  <si>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</si>
  <si>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</si>
  <si>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</si>
  <si>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</si>
  <si>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</si>
  <si>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</si>
  <si>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</si>
  <si>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</si>
  <si>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</si>
  <si>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</si>
  <si>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</si>
  <si>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t>Reconciliation</t>
  </si>
  <si>
    <t xml:space="preserve">Curr Stmt.  </t>
  </si>
  <si>
    <t xml:space="preserve">CheckSum: 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</si>
  <si>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</si>
  <si>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</si>
  <si>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</si>
  <si>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</si>
  <si>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</si>
  <si>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</si>
  <si>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</si>
  <si>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</si>
  <si>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</si>
  <si>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</si>
  <si>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</si>
  <si>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</si>
  <si>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</si>
  <si>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</si>
  <si>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</si>
  <si>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</si>
  <si>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</si>
  <si>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</si>
  <si>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</si>
  <si>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Rolling Avg Data</t>
  </si>
  <si>
    <t>4q23</t>
  </si>
  <si>
    <t>1q24</t>
  </si>
  <si>
    <t>2q24</t>
  </si>
  <si>
    <t>3q24</t>
  </si>
  <si>
    <t>4q24</t>
  </si>
  <si>
    <t>1q25</t>
  </si>
  <si>
    <t>2q25</t>
  </si>
  <si>
    <t>3q25</t>
  </si>
  <si>
    <t>4q25</t>
  </si>
  <si>
    <t>** Use 'Change in Investment Value' value from Fidelity statement, not total change</t>
  </si>
  <si>
    <t>Thank You Sent</t>
  </si>
  <si>
    <t>:QtrTitle</t>
  </si>
  <si>
    <t>:QtrAvgRange</t>
  </si>
  <si>
    <t>:QtrRollingAvgPct</t>
  </si>
  <si>
    <t>:QtrSumAvg</t>
  </si>
  <si>
    <t>(Available Funds less Reserve)</t>
  </si>
  <si>
    <r>
      <t xml:space="preserve">Available Funds  </t>
    </r>
    <r>
      <rPr>
        <sz val="10"/>
        <color theme="1"/>
        <rFont val="Arial"/>
        <family val="2"/>
      </rPr>
      <t>(Ttl Assets less Principal)</t>
    </r>
  </si>
  <si>
    <t>CurrentYr:</t>
  </si>
  <si>
    <t>Current</t>
  </si>
  <si>
    <t>Qtr:</t>
  </si>
  <si>
    <t>Bank Code</t>
  </si>
  <si>
    <t>Code</t>
  </si>
  <si>
    <t>First
Quarter Balance</t>
  </si>
  <si>
    <t>Second
Quarter Balance</t>
  </si>
  <si>
    <t>Third
Quarter Balance</t>
  </si>
  <si>
    <t>First
Quarter</t>
  </si>
  <si>
    <t>Second
Quarter</t>
  </si>
  <si>
    <t>Third
Quarter</t>
  </si>
  <si>
    <t>Year End
Total</t>
  </si>
  <si>
    <t>Fourth
Quarter
(YE Balance)</t>
  </si>
  <si>
    <t>Fourth
Quarter</t>
  </si>
  <si>
    <t>% Return:</t>
  </si>
  <si>
    <t>* Racine Community Foundation not reported until March</t>
  </si>
  <si>
    <t>% of Rolling Average for' Prudent Spendable':</t>
  </si>
  <si>
    <t># of Quarrters to Average for 'Prudent Spendable':</t>
  </si>
  <si>
    <t>Month Return</t>
  </si>
  <si>
    <t>To Create a Year End Final statement:</t>
  </si>
  <si>
    <t>- Delete the 'YE Final' tab if it exeistsis tab, then copy the final Qaurterly Analysis Statement tab to YE Final</t>
  </si>
  <si>
    <t>- Makke a copy of final 'Qaurterly Analysis Statement' tab to 'YE Final' tab</t>
  </si>
  <si>
    <t>- On the 'YE Final' tab, highlight entire sheet and Copy, then 'Paste Special, Values' (without moving the cursor)</t>
  </si>
  <si>
    <t>To make a new year spreadsheet:</t>
  </si>
  <si>
    <t>- Open the new sheet</t>
  </si>
  <si>
    <t>- Delete the 'YR Final tab, and any special tabs that were created that year (for tracking items specific to that year most likely)</t>
  </si>
  <si>
    <t>- on the 'Top Level' tab, change year to current year, Current Qtr to 1</t>
  </si>
  <si>
    <t>- on the 'Data Entry' tab, Delete ONLY the blue values, but all of them</t>
  </si>
  <si>
    <t xml:space="preserve">          '*** Exception: You will need to wait until you get the Racine Community Foundation balance to change that one</t>
  </si>
  <si>
    <t>- on the 'Bank Accounts' tab, change the beginning balances to the ending balance of previous year, including Principle</t>
  </si>
  <si>
    <t>1q26</t>
  </si>
  <si>
    <t>2q26</t>
  </si>
  <si>
    <t>3q26</t>
  </si>
  <si>
    <t>4q26</t>
  </si>
  <si>
    <t>1q27</t>
  </si>
  <si>
    <t>2q27</t>
  </si>
  <si>
    <t>3q27</t>
  </si>
  <si>
    <t>4q27</t>
  </si>
  <si>
    <t>- Save the worksheet, YOU'RE DONE!</t>
  </si>
  <si>
    <t>- Copy last year's sheet to a new name {yyyy Endowment.xlsx). I \keep each year in a separate subdirectory by year</t>
  </si>
  <si>
    <t>by Harold &amp; Grace Holm in mem of Rev Melvin Miritz</t>
  </si>
  <si>
    <t xml:space="preserve">      ***  You should be updating those values after EVERY quarter!!</t>
  </si>
  <si>
    <t>- on the 'Chart of Accounts' tab, make sure all quarter-end balances are filled in, and all quarters after are 0 (an actual value of 0 (shown as a dash), not blank)</t>
  </si>
  <si>
    <t xml:space="preserve">        - At some point, if you wish, you can move the last 20 quarters up to the top and fill quarters after the current quarter with 0's</t>
  </si>
  <si>
    <t xml:space="preserve">        - The calc works by counting 20 (19) rows up from the first 0 quarter. Check the calculated range 'QtrAvgRange' for proper values</t>
  </si>
  <si>
    <t>INSTRUCTIONS</t>
  </si>
  <si>
    <t>in Mem of Ken Fehl by Dick Hansen</t>
  </si>
  <si>
    <t>X</t>
  </si>
  <si>
    <t>Qtr Return</t>
  </si>
  <si>
    <t>January stmt</t>
  </si>
  <si>
    <t>February stmt</t>
  </si>
  <si>
    <t>March stmt</t>
  </si>
  <si>
    <t>April stmt</t>
  </si>
  <si>
    <t>Principal (Corpus)</t>
  </si>
  <si>
    <t>in mem of Shirley Alton by Dawn Jacobson</t>
  </si>
  <si>
    <t>in mem of Shirley Alton by Mary Hauch</t>
  </si>
  <si>
    <t>May stmt</t>
  </si>
  <si>
    <t>July stmt</t>
  </si>
  <si>
    <t>August stmt</t>
  </si>
  <si>
    <t>June stmt</t>
  </si>
  <si>
    <t>September statement</t>
  </si>
  <si>
    <t>October statement</t>
  </si>
  <si>
    <t>November statement</t>
  </si>
  <si>
    <t>December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</si>
</sst>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00000000_);\(#,##0.000000000000000\)"/>
    <numFmt numFmtId="165" formatCode="0.0%"/>
    <numFmt numFmtId="166" formatCode="0.0000%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6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horizontal="center" vertical="top"/>
    </xf>
    <xf numFmtId="14" fontId="8" fillId="0" borderId="2" xfId="0" applyNumberFormat="1" applyFont="1" applyFill="1" applyBorder="1" applyAlignment="1">
      <alignment horizontal="center" vertical="top"/>
    </xf>
    <xf numFmtId="0" fontId="17" fillId="0" borderId="2" xfId="0" applyNumberFormat="1" applyFont="1" applyFill="1" applyBorder="1" applyAlignment="1">
      <alignment horizontal="center" vertical="top"/>
    </xf>
    <xf numFmtId="0" fontId="8" fillId="0" borderId="2" xfId="0" quotePrefix="1" applyNumberFormat="1" applyFont="1" applyFill="1" applyBorder="1" applyAlignment="1">
      <alignment horizontal="center" vertical="top"/>
    </xf>
    <xf numFmtId="14" fontId="17" fillId="0" borderId="2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center" vertical="top"/>
    </xf>
    <xf numFmtId="4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7" fillId="0" borderId="0" xfId="0" quotePrefix="1" applyFont="1" applyFill="1" applyBorder="1"/>
    <xf numFmtId="43" fontId="7" fillId="0" borderId="0" xfId="10" applyFont="1" applyFill="1" applyBorder="1"/>
    <xf numFmtId="0" fontId="6" fillId="0" borderId="0" xfId="0" applyFont="1" applyFill="1" applyBorder="1" applyAlignment="1">
      <alignment horizontal="right"/>
    </xf>
    <xf numFmtId="43" fontId="7" fillId="0" borderId="0" xfId="0" applyNumberFormat="1" applyFont="1" applyFill="1" applyBorder="1"/>
    <xf numFmtId="0" fontId="28" fillId="0" borderId="0" xfId="0" applyFont="1" applyBorder="1" applyAlignment="1">
      <alignment vertical="top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7" fillId="0" borderId="0" xfId="0" applyNumberFormat="1" applyFont="1" applyFill="1" applyBorder="1" applyAlignment="1">
      <alignment horizontal="right"/>
    </xf>
    <xf numFmtId="43" fontId="6" fillId="0" borderId="0" xfId="0" applyNumberFormat="1" applyFont="1" applyFill="1" applyBorder="1"/>
    <xf numFmtId="0" fontId="6" fillId="0" borderId="0" xfId="0" quotePrefix="1" applyFont="1" applyFill="1" applyBorder="1"/>
    <xf numFmtId="0" fontId="7" fillId="0" borderId="0" xfId="0" applyFont="1" applyFill="1" applyBorder="1" applyAlignment="1">
      <alignment horizontal="right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44" fontId="7" fillId="0" borderId="0" xfId="1" quotePrefix="1" applyFont="1" applyBorder="1" applyAlignment="1">
      <alignment vertical="center"/>
    </xf>
    <xf numFmtId="44" fontId="7" fillId="0" borderId="0" xfId="0" quotePrefix="1" applyNumberFormat="1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6" fillId="0" borderId="52" xfId="0" applyFont="1" applyBorder="1" applyAlignment="1">
      <alignment horizontal="center" wrapText="1"/>
    </xf>
    <xf numFmtId="44" fontId="7" fillId="0" borderId="53" xfId="1" quotePrefix="1" applyFont="1" applyBorder="1" applyAlignment="1">
      <alignment vertical="center"/>
    </xf>
    <xf numFmtId="44" fontId="7" fillId="0" borderId="53" xfId="0" applyNumberFormat="1" applyFont="1" applyBorder="1" applyAlignment="1">
      <alignment vertical="center"/>
    </xf>
    <xf numFmtId="44" fontId="7" fillId="0" borderId="52" xfId="0" applyNumberFormat="1" applyFont="1" applyBorder="1" applyAlignment="1">
      <alignment vertical="center"/>
    </xf>
    <xf numFmtId="44" fontId="6" fillId="0" borderId="53" xfId="1" applyFont="1" applyBorder="1" applyAlignment="1">
      <alignment vertical="center"/>
    </xf>
    <xf numFmtId="44" fontId="6" fillId="0" borderId="54" xfId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 wrapText="1"/>
    </xf>
    <xf numFmtId="44" fontId="7" fillId="0" borderId="53" xfId="1" applyFont="1" applyBorder="1" applyAlignment="1">
      <alignment vertical="center"/>
    </xf>
    <xf numFmtId="44" fontId="6" fillId="0" borderId="54" xfId="0" applyNumberFormat="1" applyFont="1" applyBorder="1" applyAlignment="1">
      <alignment vertical="center"/>
    </xf>
    <xf numFmtId="44" fontId="7" fillId="0" borderId="53" xfId="0" applyNumberFormat="1" applyFont="1" applyFill="1" applyBorder="1" applyAlignment="1">
      <alignment vertical="center"/>
    </xf>
    <xf numFmtId="0" fontId="7" fillId="0" borderId="53" xfId="0" applyFont="1" applyFill="1" applyBorder="1" applyAlignment="1">
      <alignment horizontal="center" vertical="center" wrapText="1"/>
    </xf>
    <xf numFmtId="44" fontId="6" fillId="0" borderId="53" xfId="0" applyNumberFormat="1" applyFont="1" applyBorder="1" applyAlignment="1">
      <alignment vertical="center"/>
    </xf>
    <xf numFmtId="44" fontId="21" fillId="0" borderId="28" xfId="0" applyNumberFormat="1" applyFont="1" applyFill="1" applyBorder="1" applyAlignment="1">
      <alignment horizontal="right" vertical="center"/>
    </xf>
    <xf numFmtId="44" fontId="6" fillId="0" borderId="34" xfId="0" applyNumberFormat="1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10" fontId="7" fillId="0" borderId="28" xfId="11" applyNumberFormat="1" applyFont="1" applyBorder="1" applyAlignment="1">
      <alignment vertical="center"/>
    </xf>
    <xf numFmtId="10" fontId="17" fillId="4" borderId="17" xfId="11" applyNumberFormat="1" applyFont="1" applyFill="1" applyBorder="1" applyAlignment="1">
      <alignment horizontal="left" vertical="center"/>
    </xf>
    <xf numFmtId="0" fontId="29" fillId="4" borderId="17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vertical="center"/>
    </xf>
    <xf numFmtId="44" fontId="6" fillId="0" borderId="26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6" fillId="0" borderId="26" xfId="0" applyNumberFormat="1" applyFont="1" applyBorder="1" applyAlignment="1">
      <alignment horizontal="left" vertical="top"/>
    </xf>
    <xf numFmtId="0" fontId="0" fillId="0" borderId="0" xfId="0" quotePrefix="1"/>
    <xf numFmtId="0" fontId="7" fillId="0" borderId="0" xfId="0" quotePrefix="1" applyFont="1" applyAlignment="1">
      <alignment vertical="center"/>
    </xf>
    <xf numFmtId="0" fontId="6" fillId="0" borderId="0" xfId="0" quotePrefix="1" applyFont="1" applyAlignment="1">
      <alignment vertical="center"/>
    </xf>
    <xf numFmtId="0" fontId="30" fillId="0" borderId="0" xfId="0" applyFont="1" applyAlignment="1">
      <alignment vertical="center"/>
    </xf>
    <xf numFmtId="14" fontId="6" fillId="0" borderId="2" xfId="0" applyNumberFormat="1" applyFont="1" applyFill="1" applyBorder="1" applyAlignment="1">
      <alignment horizontal="center" vertical="top"/>
    </xf>
    <xf numFmtId="14" fontId="6" fillId="0" borderId="3" xfId="0" applyNumberFormat="1" applyFont="1" applyBorder="1" applyAlignment="1">
      <alignment horizontal="center" vertical="center"/>
    </xf>
    <xf numFmtId="166" fontId="21" fillId="0" borderId="28" xfId="11" applyNumberFormat="1" applyFont="1" applyFill="1" applyBorder="1" applyAlignment="1">
      <alignment horizontal="right" vertical="center"/>
    </xf>
    <xf numFmtId="0" fontId="7" fillId="0" borderId="46" xfId="0" applyFont="1" applyBorder="1" applyAlignment="1">
      <alignment vertical="center"/>
    </xf>
    <xf numFmtId="44" fontId="13" fillId="6" borderId="29" xfId="0" applyNumberFormat="1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10" fontId="31" fillId="0" borderId="0" xfId="11" quotePrefix="1" applyNumberFormat="1" applyFont="1" applyBorder="1" applyAlignment="1">
      <alignment vertical="center"/>
    </xf>
    <xf numFmtId="165" fontId="27" fillId="0" borderId="0" xfId="11" applyNumberFormat="1" applyFont="1" applyFill="1" applyBorder="1" applyAlignment="1">
      <alignment vertical="center"/>
    </xf>
    <xf numFmtId="165" fontId="27" fillId="0" borderId="0" xfId="11" applyNumberFormat="1" applyFont="1" applyBorder="1" applyAlignment="1">
      <alignment vertical="center"/>
    </xf>
    <xf numFmtId="165" fontId="31" fillId="0" borderId="0" xfId="0" applyNumberFormat="1" applyFont="1" applyBorder="1" applyAlignment="1">
      <alignment vertical="center"/>
    </xf>
    <xf numFmtId="165" fontId="27" fillId="0" borderId="0" xfId="0" applyNumberFormat="1" applyFont="1" applyFill="1" applyBorder="1" applyAlignment="1">
      <alignment vertical="center"/>
    </xf>
    <xf numFmtId="165" fontId="27" fillId="0" borderId="53" xfId="11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1" fillId="0" borderId="31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44" fontId="31" fillId="0" borderId="28" xfId="0" applyNumberFormat="1" applyFont="1" applyBorder="1" applyAlignment="1">
      <alignment vertical="top"/>
    </xf>
    <xf numFmtId="0" fontId="27" fillId="0" borderId="28" xfId="0" applyFont="1" applyBorder="1" applyAlignment="1">
      <alignment vertical="center"/>
    </xf>
  </cellXfs>
  <cellStyles count="12">
    <cellStyle name="Comma" xfId="10" builtinId="3"/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  <cellStyle name="Percent" xfId="1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Asset_Accounts" displayName="Asset_Accounts" ref="B4:C7" totalsRowShown="0">
  <autoFilter ref="B4:C7"/>
  <tableColumns count="2">
    <tableColumn id="1" name="Bank Code" dataDxfId="3"/>
    <tableColumn id="2" name="Bank 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I_E_Accounts" displayName="I_E_Accounts" ref="B11:C20" totalsRowShown="0">
  <autoFilter ref="B11:C20"/>
  <tableColumns count="2">
    <tableColumn id="1" name="Code" dataDxfId="1"/>
    <tableColumn id="2" name="4000:  Inco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230"/>
  <sheetViews>
    <sheetView showGridLines="0" tabSelected="1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23" ht="6" customHeight="1" x14ac:dyDescent="0.25"/>
    <row r="2" spans="1:23" ht="20.25" x14ac:dyDescent="0.25">
      <c r="A2" s="219" t="s">
        <v>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23" ht="20.25" x14ac:dyDescent="0.25">
      <c r="A3" s="219" t="s">
        <v>71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23" ht="20.25" x14ac:dyDescent="0.25">
      <c r="A4" s="219" t="str">
        <f>VLOOKUP(CurrQtr,LKQtr,5)&amp;", "&amp;CurrentYr</f>
        <v>4th Quarter, 2024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91"/>
    </row>
    <row r="5" spans="1:23" ht="9.9499999999999993" customHeight="1" thickBot="1" x14ac:dyDescent="0.3">
      <c r="G5" s="17"/>
      <c r="H5" s="17"/>
      <c r="I5" s="17"/>
      <c r="J5" s="17"/>
      <c r="K5" s="17"/>
    </row>
    <row r="6" spans="1:23" ht="6.6" customHeight="1" thickTop="1" x14ac:dyDescent="0.25">
      <c r="A6" s="24"/>
      <c r="B6" s="25"/>
      <c r="C6" s="25"/>
      <c r="D6" s="25"/>
      <c r="E6" s="25"/>
      <c r="F6" s="25"/>
      <c r="G6" s="117"/>
      <c r="H6" s="117"/>
      <c r="I6" s="117"/>
      <c r="J6" s="117"/>
      <c r="K6" s="117"/>
      <c r="L6" s="26"/>
      <c r="M6"/>
      <c r="N6"/>
      <c r="O6"/>
      <c r="P6"/>
      <c r="Q6"/>
      <c r="R6"/>
      <c r="S6"/>
      <c r="T6"/>
      <c r="U6"/>
      <c r="V6"/>
      <c r="W6"/>
    </row>
    <row r="7" spans="1:23" ht="47.25" x14ac:dyDescent="0.25">
      <c r="A7" s="28"/>
      <c r="B7" s="98" t="s">
        <v>32</v>
      </c>
      <c r="E7" s="97" t="s">
        <v>62</v>
      </c>
      <c r="G7" s="97" t="str">
        <f>VLOOKUP(CurrQtr,LKQtr,2)</f>
        <v>October</v>
      </c>
      <c r="H7" s="17"/>
      <c r="I7" s="97" t="str">
        <f>VLOOKUP(CurrQtr,LKQtr,3)</f>
        <v>November</v>
      </c>
      <c r="J7" s="17"/>
      <c r="K7" s="97" t="str">
        <f>VLOOKUP(CurrQtr,LKQtr,4)&amp;" (Quarter End Balance)"</f>
        <v>December (Quarter End Balance)</v>
      </c>
      <c r="L7" s="27"/>
      <c r="M7"/>
      <c r="N7"/>
      <c r="O7"/>
      <c r="P7"/>
      <c r="Q7"/>
      <c r="R7"/>
      <c r="S7"/>
      <c r="T7"/>
      <c r="U7"/>
      <c r="V7"/>
      <c r="W7"/>
    </row>
    <row r="8" spans="1:23" x14ac:dyDescent="0.25">
      <c r="A8" s="28"/>
      <c r="B8" s="93">
        <v>1000</v>
      </c>
      <c r="C8" s="17" t="str">
        <f>IF(B8="","",VLOOKUP(B8,Chart,2))</f>
        <v>Fidelity Investments</v>
      </c>
      <c r="E8" s="19">
        <f>VLOOKUP(IF(CurrQtr=1,0,IF(CurrQtr=2,3,IF(CurrQtr=3,6,9))),BankAccounts,4)</f>
        <v>211280.36000000002</v>
      </c>
      <c r="G8" s="19">
        <f>VLOOKUP(IF(CurrQtr=1,1,IF(CurrQtr=2,4,IF(CurrQtr=3,7,10))),BankAccounts,4)</f>
        <v>206236.32</v>
      </c>
      <c r="H8" s="17"/>
      <c r="I8" s="19">
        <f>VLOOKUP(IF(CurrQtr=1,2,IF(CurrQtr=2,5,IF(CurrQtr=3,8,11))),BankAccounts,4)</f>
        <v>210628.12</v>
      </c>
      <c r="J8" s="17"/>
      <c r="K8" s="19">
        <f>VLOOKUP(IF(CurrQtr=1,3,IF(CurrQtr=2,6,IF(CurrQtr=3,9,12))),BankAccounts,4)</f>
        <v>205193.66</v>
      </c>
      <c r="L8" s="27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28"/>
      <c r="B9" s="93">
        <v>1020</v>
      </c>
      <c r="C9" s="17" t="str">
        <f>IF(B9="","",VLOOKUP(B9,Chart,2))&amp;"*"</f>
        <v>Racine Community Foundation*</v>
      </c>
      <c r="E9" s="19">
        <f>VLOOKUP(IF(CurrQtr=1,0,IF(CurrQtr=2,3,IF(CurrQtr=3,6,9))),BankAccounts,7)</f>
        <v>28937.54</v>
      </c>
      <c r="G9" s="19">
        <f>VLOOKUP(IF(CurrQtr=1,1,IF(CurrQtr=2,4,IF(CurrQtr=3,7,10))),BankAccounts,7)</f>
        <v>28937.54</v>
      </c>
      <c r="H9" s="17"/>
      <c r="I9" s="19">
        <f>VLOOKUP(IF(CurrQtr=1,2,IF(CurrQtr=2,5,IF(CurrQtr=3,8,11))),BankAccounts,7)</f>
        <v>28937.54</v>
      </c>
      <c r="J9" s="17"/>
      <c r="K9" s="19">
        <f>VLOOKUP(IF(CurrQtr=1,3,IF(CurrQtr=2,6,IF(CurrQtr=3,9,12))),BankAccounts,7)</f>
        <v>28937.54</v>
      </c>
      <c r="L9" s="27"/>
      <c r="M9"/>
      <c r="N9"/>
      <c r="O9"/>
      <c r="P9"/>
      <c r="Q9"/>
      <c r="R9"/>
      <c r="S9"/>
      <c r="T9"/>
      <c r="U9"/>
      <c r="V9"/>
      <c r="W9"/>
    </row>
    <row r="10" spans="1:23" ht="16.5" thickBot="1" x14ac:dyDescent="0.3">
      <c r="A10" s="28"/>
      <c r="B10" s="43" t="s">
        <v>31</v>
      </c>
      <c r="C10" s="43"/>
      <c r="D10" s="43"/>
      <c r="E10" s="62">
        <f>SUM(E8:E9)</f>
        <v>240217.90000000002</v>
      </c>
      <c r="F10" s="43"/>
      <c r="G10" s="62">
        <f>SUM(G8:G9)</f>
        <v>235173.86000000002</v>
      </c>
      <c r="H10" s="17"/>
      <c r="I10" s="62">
        <f>SUM(I8:I9)</f>
        <v>239565.66</v>
      </c>
      <c r="J10" s="17"/>
      <c r="K10" s="62">
        <f>SUM(K8:K9)</f>
        <v>234131.20000000001</v>
      </c>
      <c r="L10" s="27"/>
      <c r="M10"/>
      <c r="N10"/>
      <c r="O10"/>
      <c r="P10"/>
      <c r="Q10"/>
      <c r="R10"/>
      <c r="S10"/>
      <c r="T10"/>
      <c r="U10"/>
      <c r="V10"/>
      <c r="W10"/>
    </row>
    <row r="11" spans="1:23" ht="16.5" hidden="1" thickTop="1" x14ac:dyDescent="0.25">
      <c r="A11" s="28"/>
      <c r="E11" s="20"/>
      <c r="G11" s="97" t="str">
        <f>VLOOKUP(CurrQtr,LKQtr,2)</f>
        <v>October</v>
      </c>
      <c r="H11" s="17"/>
      <c r="I11" s="97" t="str">
        <f>VLOOKUP(CurrQtr,LKQtr,2)</f>
        <v>October</v>
      </c>
      <c r="J11" s="17"/>
      <c r="K11" s="97" t="str">
        <f>VLOOKUP(CurrQtr,LKQtr,2)</f>
        <v>October</v>
      </c>
      <c r="L11" s="27"/>
      <c r="M11"/>
      <c r="N11"/>
      <c r="O11"/>
      <c r="P11"/>
      <c r="Q11"/>
      <c r="R11"/>
      <c r="S11"/>
      <c r="T11"/>
      <c r="U11"/>
      <c r="V11"/>
      <c r="W11"/>
    </row>
    <row r="12" spans="1:23" ht="16.5" thickTop="1" x14ac:dyDescent="0.25">
      <c r="A12" s="28"/>
      <c r="B12" s="43"/>
      <c r="C12" s="105" t="s">
        <v>141</v>
      </c>
      <c r="D12" s="212"/>
      <c r="E12" s="213"/>
      <c r="F12" s="212"/>
      <c r="G12" s="214">
        <f>IF(G10=0,0,(E26+E27)/E10)</f>
        <v>-2.0997769108796638E-2</v>
      </c>
      <c r="H12" s="214"/>
      <c r="I12" s="214">
        <f>IF(I10=0,0,(G26+G27)/G10)</f>
        <v>1.8674694543007457E-2</v>
      </c>
      <c r="J12" s="214"/>
      <c r="K12" s="214">
        <f>IF(K10=0,0,(I26+I27)/E10)</f>
        <v>-2.262304349509341E-2</v>
      </c>
      <c r="L12" s="27"/>
      <c r="M12"/>
      <c r="N12"/>
      <c r="O12"/>
      <c r="P12"/>
      <c r="Q12"/>
      <c r="R12"/>
      <c r="S12"/>
      <c r="T12"/>
      <c r="U12"/>
      <c r="V12"/>
      <c r="W12"/>
    </row>
    <row r="13" spans="1:23" ht="3.95" customHeight="1" x14ac:dyDescent="0.25">
      <c r="A13" s="28"/>
      <c r="E13" s="20"/>
      <c r="G13" s="20"/>
      <c r="H13" s="17"/>
      <c r="I13" s="17"/>
      <c r="J13" s="17"/>
      <c r="K13" s="92"/>
      <c r="L13" s="27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28"/>
      <c r="B14" s="18" t="s">
        <v>75</v>
      </c>
      <c r="E14" s="20"/>
      <c r="G14" s="20"/>
      <c r="H14" s="17"/>
      <c r="I14" s="17"/>
      <c r="J14" s="17"/>
      <c r="K14" s="23"/>
      <c r="L14" s="27"/>
      <c r="M14"/>
      <c r="N14"/>
      <c r="O14"/>
      <c r="P14"/>
      <c r="Q14"/>
      <c r="R14"/>
      <c r="S14"/>
      <c r="T14"/>
      <c r="U14"/>
      <c r="V14"/>
      <c r="W14"/>
    </row>
    <row r="15" spans="1:23" x14ac:dyDescent="0.25">
      <c r="A15" s="28"/>
      <c r="C15" s="18" t="s">
        <v>176</v>
      </c>
      <c r="E15" s="19">
        <f>VLOOKUP(IF(CurrQtr=1,0,IF(CurrQtr=2,3,IF(CurrQtr=3,6,9))),BankAccounts,11)</f>
        <v>135602.65</v>
      </c>
      <c r="G15" s="19">
        <f>VLOOKUP(IF(CurrQtr=1,1,IF(CurrQtr=2,4,IF(CurrQtr=3,7,10))),BankAccounts,11)</f>
        <v>135602.65</v>
      </c>
      <c r="H15" s="17"/>
      <c r="I15" s="19">
        <f>VLOOKUP(IF(CurrQtr=1,2,IF(CurrQtr=2,5,IF(CurrQtr=3,8,11))),BankAccounts,11)</f>
        <v>135602.65</v>
      </c>
      <c r="J15" s="17"/>
      <c r="K15" s="19">
        <f>VLOOKUP(IF(CurrQtr=1,3,IF(CurrQtr=2,6,IF(CurrQtr=3,9,12))),BankAccounts,11)</f>
        <v>135602.65</v>
      </c>
      <c r="L15" s="27"/>
      <c r="M15"/>
      <c r="N15"/>
      <c r="O15"/>
      <c r="P15"/>
      <c r="Q15"/>
      <c r="R15"/>
      <c r="S15"/>
      <c r="T15"/>
      <c r="U15"/>
      <c r="V15"/>
      <c r="W15"/>
    </row>
    <row r="16" spans="1:23" x14ac:dyDescent="0.25">
      <c r="A16" s="28"/>
      <c r="C16" s="18" t="s">
        <v>122</v>
      </c>
      <c r="E16" s="20">
        <f>+E10-E15</f>
        <v>104615.25000000003</v>
      </c>
      <c r="F16" s="20">
        <f t="shared" ref="F16:K16" si="0">+F10-F15</f>
        <v>0</v>
      </c>
      <c r="G16" s="20">
        <f t="shared" si="0"/>
        <v>99571.210000000021</v>
      </c>
      <c r="H16" s="20">
        <f t="shared" si="0"/>
        <v>0</v>
      </c>
      <c r="I16" s="20">
        <f t="shared" si="0"/>
        <v>103963.01000000001</v>
      </c>
      <c r="J16" s="20">
        <f t="shared" si="0"/>
        <v>0</v>
      </c>
      <c r="K16" s="20">
        <f t="shared" si="0"/>
        <v>98528.550000000017</v>
      </c>
      <c r="L16" s="27"/>
      <c r="M16"/>
      <c r="N16"/>
      <c r="O16"/>
      <c r="P16"/>
      <c r="Q16"/>
      <c r="R16"/>
      <c r="S16"/>
      <c r="T16"/>
      <c r="U16"/>
      <c r="V16"/>
      <c r="W16"/>
    </row>
    <row r="17" spans="1:23" x14ac:dyDescent="0.25">
      <c r="A17" s="28"/>
      <c r="B17" s="116"/>
      <c r="C17" s="18" t="str">
        <f>Reserve*100&amp;"% Reserve (of available funds)"</f>
        <v>15% Reserve (of available funds)</v>
      </c>
      <c r="E17" s="20">
        <f t="shared" ref="E17:K17" si="1">+E16*Reserve</f>
        <v>15692.287500000004</v>
      </c>
      <c r="F17" s="20">
        <f t="shared" si="1"/>
        <v>0</v>
      </c>
      <c r="G17" s="20">
        <f t="shared" si="1"/>
        <v>14935.681500000002</v>
      </c>
      <c r="H17" s="20">
        <f t="shared" si="1"/>
        <v>0</v>
      </c>
      <c r="I17" s="20">
        <f t="shared" si="1"/>
        <v>15594.451500000001</v>
      </c>
      <c r="J17" s="20">
        <f t="shared" si="1"/>
        <v>0</v>
      </c>
      <c r="K17" s="20">
        <f t="shared" si="1"/>
        <v>14779.282500000001</v>
      </c>
      <c r="L17" s="27"/>
      <c r="M17"/>
      <c r="N17"/>
      <c r="O17"/>
      <c r="P17"/>
      <c r="Q17"/>
      <c r="R17"/>
      <c r="S17"/>
      <c r="T17"/>
      <c r="U17"/>
      <c r="V17"/>
      <c r="W17"/>
    </row>
    <row r="18" spans="1:23" ht="16.5" thickBot="1" x14ac:dyDescent="0.3">
      <c r="A18" s="28"/>
      <c r="B18" s="43" t="s">
        <v>77</v>
      </c>
      <c r="C18" s="43"/>
      <c r="D18" s="43"/>
      <c r="E18" s="62">
        <f>+E16-E17</f>
        <v>88922.962500000023</v>
      </c>
      <c r="F18" s="62">
        <f t="shared" ref="F18:K18" si="2">+F16-F17</f>
        <v>0</v>
      </c>
      <c r="G18" s="62">
        <f t="shared" si="2"/>
        <v>84635.528500000015</v>
      </c>
      <c r="H18" s="62">
        <f t="shared" si="2"/>
        <v>0</v>
      </c>
      <c r="I18" s="62">
        <f t="shared" si="2"/>
        <v>88368.558500000014</v>
      </c>
      <c r="J18" s="62">
        <f t="shared" si="2"/>
        <v>0</v>
      </c>
      <c r="K18" s="62">
        <f t="shared" si="2"/>
        <v>83749.267500000016</v>
      </c>
      <c r="L18" s="27"/>
      <c r="M18"/>
      <c r="N18"/>
      <c r="O18"/>
      <c r="P18"/>
      <c r="Q18"/>
      <c r="R18"/>
      <c r="S18"/>
      <c r="T18"/>
      <c r="U18"/>
      <c r="V18"/>
      <c r="W18"/>
    </row>
    <row r="19" spans="1:23" ht="16.5" thickTop="1" x14ac:dyDescent="0.25">
      <c r="A19" s="28"/>
      <c r="B19" s="43"/>
      <c r="C19" s="153" t="s">
        <v>121</v>
      </c>
      <c r="D19" s="43"/>
      <c r="E19" s="120"/>
      <c r="F19" s="120"/>
      <c r="G19" s="120"/>
      <c r="H19" s="120"/>
      <c r="I19" s="120"/>
      <c r="J19" s="120"/>
      <c r="K19" s="120"/>
      <c r="L19" s="27"/>
      <c r="M19"/>
      <c r="N19"/>
      <c r="O19"/>
      <c r="P19"/>
      <c r="Q19"/>
      <c r="R19"/>
      <c r="S19"/>
      <c r="T19"/>
      <c r="U19"/>
      <c r="V19"/>
      <c r="W19"/>
    </row>
    <row r="20" spans="1:23" ht="15.75" x14ac:dyDescent="0.25">
      <c r="A20" s="28"/>
      <c r="B20" s="201" t="str">
        <f>"Reasonable &amp; Prudent Annual Spendable ("&amp;QtrTitle &amp; ")"</f>
        <v>Reasonable &amp; Prudent Annual Spendable (4.0% of Rolling 20 qtrs Avg Total Assets)</v>
      </c>
      <c r="C20" s="121"/>
      <c r="D20" s="43"/>
      <c r="E20" s="120"/>
      <c r="F20" s="120"/>
      <c r="G20" s="120"/>
      <c r="H20" s="120"/>
      <c r="I20" s="120"/>
      <c r="J20" s="120"/>
      <c r="K20" s="120">
        <f ca="1">QtrRollingAvgPct</f>
        <v>8017.1390200000005</v>
      </c>
      <c r="L20" s="27"/>
      <c r="M20"/>
      <c r="N20"/>
      <c r="O20"/>
      <c r="P20"/>
      <c r="Q20"/>
      <c r="R20"/>
      <c r="S20"/>
      <c r="T20"/>
      <c r="U20"/>
      <c r="V20"/>
      <c r="W20"/>
    </row>
    <row r="21" spans="1:23" ht="17.25" customHeight="1" thickBot="1" x14ac:dyDescent="0.3">
      <c r="A21" s="29"/>
      <c r="B21" s="202" t="str">
        <f>"QTD Total Return: "&amp;TEXT((K26+K27)/E10,"0.0%")</f>
        <v>QTD Total Return: -2.5%</v>
      </c>
      <c r="C21" s="199"/>
      <c r="D21" s="30"/>
      <c r="E21" s="88"/>
      <c r="F21" s="30"/>
      <c r="G21" s="88"/>
      <c r="H21" s="33"/>
      <c r="I21" s="198"/>
      <c r="J21" s="33"/>
      <c r="K21" s="118"/>
      <c r="L21" s="32"/>
      <c r="M21"/>
      <c r="N21"/>
      <c r="O21"/>
      <c r="P21"/>
      <c r="Q21"/>
      <c r="R21"/>
      <c r="S21"/>
      <c r="T21"/>
      <c r="U21"/>
      <c r="V21"/>
      <c r="W21"/>
    </row>
    <row r="22" spans="1:23" ht="9.9499999999999993" customHeight="1" thickTop="1" thickBot="1" x14ac:dyDescent="0.3">
      <c r="B22" s="30"/>
      <c r="C22" s="30"/>
      <c r="D22" s="30"/>
      <c r="E22" s="31"/>
      <c r="G22" s="23"/>
      <c r="K22" s="89"/>
      <c r="M22"/>
      <c r="N22"/>
      <c r="O22"/>
      <c r="P22"/>
      <c r="Q22"/>
      <c r="R22"/>
      <c r="S22"/>
      <c r="T22"/>
      <c r="U22"/>
      <c r="V22"/>
      <c r="W22"/>
    </row>
    <row r="23" spans="1:23" ht="22.5" customHeight="1" thickTop="1" x14ac:dyDescent="0.25">
      <c r="A23" s="24"/>
      <c r="B23" s="220" t="s">
        <v>37</v>
      </c>
      <c r="C23" s="220"/>
      <c r="D23" s="220"/>
      <c r="E23" s="220"/>
      <c r="F23" s="220"/>
      <c r="G23" s="220"/>
      <c r="H23" s="220"/>
      <c r="I23" s="220"/>
      <c r="J23" s="220"/>
      <c r="K23" s="220"/>
      <c r="L23" s="26"/>
      <c r="M23"/>
      <c r="N23"/>
      <c r="O23"/>
      <c r="P23"/>
      <c r="Q23"/>
      <c r="R23"/>
      <c r="S23"/>
      <c r="T23"/>
      <c r="U23"/>
      <c r="V23"/>
      <c r="W23"/>
    </row>
    <row r="24" spans="1:23" ht="31.5" x14ac:dyDescent="0.25">
      <c r="A24" s="28"/>
      <c r="B24" s="106" t="s">
        <v>33</v>
      </c>
      <c r="E24" s="221" t="str">
        <f>VLOOKUP(CurrQtr,LKQtr,2)</f>
        <v>October</v>
      </c>
      <c r="F24" s="221"/>
      <c r="G24" s="221" t="str">
        <f>VLOOKUP(CurrQtr,LKQtr,3)</f>
        <v>November</v>
      </c>
      <c r="H24" s="221"/>
      <c r="I24" s="221" t="str">
        <f>VLOOKUP(CurrQtr,LKQtr,4)</f>
        <v>December</v>
      </c>
      <c r="J24" s="221"/>
      <c r="K24" s="67" t="str">
        <f>"Total "&amp;VLOOKUP(CurrQtr,LKQtr,5)</f>
        <v>Total 4th Quarter</v>
      </c>
      <c r="L24" s="27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28"/>
      <c r="B25" s="105">
        <v>4000</v>
      </c>
      <c r="C25" s="17" t="str">
        <f>VLOOKUP(B25,Accounts,2)</f>
        <v>Contributions (Principal Increase)</v>
      </c>
      <c r="E25" s="19">
        <f>SUMIFS(SumRevenue,SumMonth,E$24,SumAccount,$B25)</f>
        <v>0</v>
      </c>
      <c r="F25" s="19"/>
      <c r="G25" s="19">
        <f>SUMIFS(SumRevenue,SumMonth,G$24,SumAccount,$B25)</f>
        <v>0</v>
      </c>
      <c r="H25" s="19"/>
      <c r="I25" s="19">
        <f>SUMIFS(SumRevenue,SumMonth,I$24,SumAccount,$B25)</f>
        <v>0</v>
      </c>
      <c r="J25" s="19"/>
      <c r="K25" s="20">
        <f>SUM(E25:I25)</f>
        <v>0</v>
      </c>
      <c r="L25" s="27"/>
      <c r="M25"/>
      <c r="N25"/>
      <c r="O25"/>
      <c r="P25"/>
      <c r="Q25"/>
      <c r="R25"/>
      <c r="S25"/>
      <c r="T25"/>
      <c r="U25"/>
      <c r="V25"/>
      <c r="W25"/>
    </row>
    <row r="26" spans="1:23" x14ac:dyDescent="0.25">
      <c r="A26" s="28"/>
      <c r="B26" s="105">
        <v>4010</v>
      </c>
      <c r="C26" s="17" t="str">
        <f>VLOOKUP(B26,Accounts,2)</f>
        <v>Interest</v>
      </c>
      <c r="E26" s="19">
        <f>SUMIFS(SumRevenue,SumMonth,E$24,SumAccount,$B26)</f>
        <v>0</v>
      </c>
      <c r="G26" s="19">
        <f>SUMIFS(SumRevenue,SumMonth,G$24,SumAccount,$B26)</f>
        <v>0</v>
      </c>
      <c r="H26" s="17"/>
      <c r="I26" s="19">
        <f>SUMIFS(SumRevenue,SumMonth,I$24,SumAccount,$B26)</f>
        <v>0</v>
      </c>
      <c r="J26" s="17"/>
      <c r="K26" s="20">
        <f>SUM(E26:I26)</f>
        <v>0</v>
      </c>
      <c r="L26" s="27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28"/>
      <c r="B27" s="105">
        <v>4020</v>
      </c>
      <c r="C27" s="17" t="str">
        <f>VLOOKUP(B27,Accounts,2)&amp;" (Net)"</f>
        <v>Change in Investment Value (Net)</v>
      </c>
      <c r="E27" s="107">
        <f>SUMIFS(SumRevenue,SumMonth,E$24,SumAccount,$B27)-SUMIFS(SumExp,SumMonth,E$24,SumAccount,$B27)</f>
        <v>-5044.04</v>
      </c>
      <c r="F27" s="108"/>
      <c r="G27" s="107">
        <f>SUMIFS(SumRevenue,SumMonth,G$24,SumAccount,$B27)-SUMIFS(SumExp,SumMonth,G$24,SumAccount,$B27)</f>
        <v>4391.8</v>
      </c>
      <c r="H27" s="109"/>
      <c r="I27" s="107">
        <f>SUMIFS(SumRevenue,SumMonth,I$24,SumAccount,$B27)-SUMIFS(SumExp,SumMonth,I$24,SumAccount,$B27)</f>
        <v>-5434.46</v>
      </c>
      <c r="J27" s="109"/>
      <c r="K27" s="110">
        <f>SUM(E27:I27)</f>
        <v>-6086.7</v>
      </c>
      <c r="L27" s="27"/>
      <c r="M27"/>
      <c r="N27"/>
      <c r="O27"/>
      <c r="P27"/>
      <c r="Q27"/>
      <c r="R27"/>
      <c r="S27"/>
      <c r="T27"/>
      <c r="U27"/>
      <c r="V27"/>
      <c r="W27"/>
    </row>
    <row r="28" spans="1:23" ht="20.25" x14ac:dyDescent="0.25">
      <c r="A28" s="28"/>
      <c r="B28" s="43" t="s">
        <v>34</v>
      </c>
      <c r="C28" s="61"/>
      <c r="D28" s="63"/>
      <c r="E28" s="64">
        <f>SUM(E25:E27)</f>
        <v>-5044.04</v>
      </c>
      <c r="F28" s="63"/>
      <c r="G28" s="64">
        <f>SUM(G25:G27)</f>
        <v>4391.8</v>
      </c>
      <c r="H28" s="61"/>
      <c r="I28" s="64">
        <f>SUM(I25:I27)</f>
        <v>-5434.46</v>
      </c>
      <c r="J28" s="65"/>
      <c r="K28" s="64">
        <f>SUM(K25:K27)</f>
        <v>-6086.7</v>
      </c>
      <c r="L28" s="27"/>
      <c r="M28"/>
      <c r="N28"/>
      <c r="O28"/>
      <c r="P28"/>
      <c r="Q28"/>
      <c r="R28"/>
      <c r="S28"/>
      <c r="T28"/>
      <c r="U28"/>
      <c r="V28"/>
      <c r="W28"/>
    </row>
    <row r="29" spans="1:23" ht="7.5" customHeight="1" x14ac:dyDescent="0.25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  <c r="M29"/>
      <c r="N29"/>
      <c r="O29"/>
      <c r="P29"/>
      <c r="Q29"/>
      <c r="R29"/>
      <c r="S29"/>
      <c r="T29"/>
      <c r="U29"/>
      <c r="V29"/>
      <c r="W29"/>
    </row>
    <row r="30" spans="1:23" ht="17.25" x14ac:dyDescent="0.25">
      <c r="A30" s="28"/>
      <c r="B30" s="43" t="s">
        <v>35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  <c r="M30"/>
      <c r="N30"/>
      <c r="O30"/>
      <c r="P30"/>
      <c r="Q30"/>
      <c r="R30"/>
      <c r="S30"/>
      <c r="T30"/>
      <c r="U30"/>
      <c r="V30"/>
      <c r="W30"/>
    </row>
    <row r="31" spans="1:23" ht="15.6" customHeight="1" x14ac:dyDescent="0.25">
      <c r="A31" s="28"/>
      <c r="B31" s="105">
        <v>5000</v>
      </c>
      <c r="C31" s="17" t="str">
        <f>VLOOKUP(B31,Accounts,2)</f>
        <v>Grants</v>
      </c>
      <c r="E31" s="19">
        <f>SUMIFS(SumExp,SumMonth,E$24,SumAccount,$B31)</f>
        <v>0</v>
      </c>
      <c r="G31" s="19">
        <f>SUMIFS(SumExp,SumMonth,G$24,SumAccount,$B31)</f>
        <v>0</v>
      </c>
      <c r="H31" s="17"/>
      <c r="I31" s="19">
        <f>SUMIFS(SumExp,SumMonth,I$24,SumAccount,$B31)</f>
        <v>0</v>
      </c>
      <c r="J31" s="17"/>
      <c r="K31" s="20">
        <f>SUM(E31:I31)</f>
        <v>0</v>
      </c>
      <c r="L31" s="27"/>
      <c r="M31"/>
      <c r="N31"/>
      <c r="O31"/>
      <c r="P31"/>
      <c r="Q31"/>
      <c r="R31"/>
      <c r="S31"/>
      <c r="T31"/>
      <c r="U31"/>
      <c r="V31"/>
      <c r="W31"/>
    </row>
    <row r="32" spans="1:23" ht="15.6" customHeight="1" x14ac:dyDescent="0.25">
      <c r="A32" s="28"/>
      <c r="B32" s="105">
        <v>5010</v>
      </c>
      <c r="C32" s="17" t="str">
        <f>VLOOKUP(B32,Accounts,2)</f>
        <v>Fund Expenses</v>
      </c>
      <c r="E32" s="19">
        <f>SUMIFS(SumExp,SumMonth,E$24,SumAccount,$B32)</f>
        <v>0</v>
      </c>
      <c r="G32" s="19">
        <f>SUMIFS(SumExp,SumMonth,G$24,SumAccount,$B32)</f>
        <v>0</v>
      </c>
      <c r="H32" s="17"/>
      <c r="I32" s="19">
        <f>SUMIFS(SumExp,SumMonth,I$24,SumAccount,$B32)</f>
        <v>0</v>
      </c>
      <c r="J32" s="17"/>
      <c r="K32" s="20">
        <f>SUM(E32:I32)</f>
        <v>0</v>
      </c>
      <c r="L32" s="27"/>
      <c r="M32"/>
      <c r="N32"/>
      <c r="O32"/>
      <c r="P32"/>
      <c r="Q32"/>
      <c r="R32"/>
      <c r="S32"/>
      <c r="T32"/>
      <c r="U32"/>
      <c r="V32"/>
      <c r="W32"/>
    </row>
    <row r="33" spans="1:23" ht="15.6" customHeight="1" x14ac:dyDescent="0.25">
      <c r="A33" s="28"/>
      <c r="B33" s="105">
        <v>5050</v>
      </c>
      <c r="C33" s="17" t="str">
        <f>VLOOKUP(B33,Accounts,2)</f>
        <v>Reductions to Principal</v>
      </c>
      <c r="E33" s="107">
        <f>SUMIFS(SumExp,SumMonth,E$24,SumAccount,$B33)</f>
        <v>0</v>
      </c>
      <c r="F33" s="108"/>
      <c r="G33" s="107">
        <f>SUMIFS(SumExp,SumMonth,G$24,SumAccount,$B33)</f>
        <v>0</v>
      </c>
      <c r="H33" s="109"/>
      <c r="I33" s="107">
        <f>SUMIFS(SumExp,SumMonth,I$24,SumAccount,$B33)</f>
        <v>0</v>
      </c>
      <c r="J33" s="109"/>
      <c r="K33" s="110">
        <f>SUM(E33:I33)</f>
        <v>0</v>
      </c>
      <c r="L33" s="27"/>
      <c r="M33"/>
      <c r="N33"/>
      <c r="O33"/>
      <c r="P33"/>
      <c r="Q33"/>
      <c r="R33"/>
      <c r="S33"/>
      <c r="T33"/>
      <c r="U33"/>
      <c r="V33"/>
      <c r="W33"/>
    </row>
    <row r="34" spans="1:23" ht="15.6" customHeight="1" x14ac:dyDescent="0.25">
      <c r="A34" s="28"/>
      <c r="B34" s="43" t="s">
        <v>30</v>
      </c>
      <c r="E34" s="64">
        <f>SUM(E31:E33)</f>
        <v>0</v>
      </c>
      <c r="G34" s="64">
        <f>SUM(G31:G33)</f>
        <v>0</v>
      </c>
      <c r="H34" s="61"/>
      <c r="I34" s="64">
        <f>SUM(I31:I33)</f>
        <v>0</v>
      </c>
      <c r="J34" s="65"/>
      <c r="K34" s="64">
        <f>SUM(K31:K33)</f>
        <v>0</v>
      </c>
      <c r="L34" s="27"/>
      <c r="M34"/>
      <c r="N34"/>
      <c r="O34"/>
      <c r="P34"/>
      <c r="Q34"/>
      <c r="R34"/>
      <c r="S34"/>
      <c r="T34"/>
      <c r="U34"/>
      <c r="V34"/>
      <c r="W34"/>
    </row>
    <row r="35" spans="1:23" ht="9" customHeight="1" x14ac:dyDescent="0.25">
      <c r="A35" s="28"/>
      <c r="B35" s="43"/>
      <c r="E35" s="64"/>
      <c r="G35" s="64"/>
      <c r="H35" s="61"/>
      <c r="I35" s="64"/>
      <c r="J35" s="65"/>
      <c r="K35" s="64"/>
      <c r="L35" s="27"/>
      <c r="M35"/>
      <c r="N35"/>
      <c r="O35"/>
      <c r="P35"/>
      <c r="Q35"/>
      <c r="R35"/>
      <c r="S35"/>
      <c r="T35"/>
      <c r="U35"/>
      <c r="V35"/>
      <c r="W35"/>
    </row>
    <row r="36" spans="1:23" ht="15.6" customHeight="1" thickBot="1" x14ac:dyDescent="0.3">
      <c r="A36" s="28"/>
      <c r="B36" s="43" t="s">
        <v>36</v>
      </c>
      <c r="E36" s="66">
        <f>+E28-E34</f>
        <v>-5044.04</v>
      </c>
      <c r="G36" s="66">
        <f>+G28-G34</f>
        <v>4391.8</v>
      </c>
      <c r="H36" s="61"/>
      <c r="I36" s="66">
        <f>+I28-I34</f>
        <v>-5434.46</v>
      </c>
      <c r="J36" s="65"/>
      <c r="K36" s="66">
        <f>+K28-K34</f>
        <v>-6086.7</v>
      </c>
      <c r="L36" s="27"/>
      <c r="M36"/>
      <c r="N36"/>
      <c r="O36"/>
      <c r="P36"/>
      <c r="Q36"/>
      <c r="R36"/>
      <c r="S36"/>
      <c r="T36"/>
      <c r="U36"/>
      <c r="V36"/>
      <c r="W36"/>
    </row>
    <row r="37" spans="1:23" ht="11.1" customHeight="1" thickTop="1" thickBot="1" x14ac:dyDescent="0.3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  <c r="M37"/>
      <c r="N37"/>
      <c r="O37"/>
      <c r="P37"/>
      <c r="Q37"/>
      <c r="R37"/>
      <c r="S37"/>
      <c r="T37"/>
      <c r="U37"/>
      <c r="V37"/>
      <c r="W37"/>
    </row>
    <row r="38" spans="1:23" ht="15.75" thickTop="1" x14ac:dyDescent="0.25">
      <c r="H38" s="17"/>
      <c r="J38" s="17"/>
      <c r="M38"/>
      <c r="N38"/>
      <c r="O38"/>
      <c r="P38"/>
      <c r="Q38"/>
      <c r="R38"/>
      <c r="S38"/>
      <c r="T38"/>
      <c r="U38"/>
      <c r="V38"/>
      <c r="W38"/>
    </row>
    <row r="39" spans="1:23" x14ac:dyDescent="0.25">
      <c r="A39" s="18" t="s">
        <v>138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5"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25"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25">
      <c r="H44" s="17"/>
      <c r="J44" s="17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H45" s="17"/>
      <c r="J45" s="17"/>
      <c r="M45"/>
      <c r="N45"/>
      <c r="O45"/>
      <c r="P45"/>
      <c r="Q45"/>
      <c r="R45"/>
      <c r="S45"/>
      <c r="T45"/>
      <c r="U45"/>
      <c r="V45"/>
      <c r="W45"/>
    </row>
    <row r="46" spans="1:23" x14ac:dyDescent="0.25">
      <c r="H46" s="17"/>
      <c r="J46" s="17"/>
      <c r="M46"/>
      <c r="N46"/>
      <c r="O46"/>
      <c r="P46"/>
      <c r="Q46"/>
      <c r="R46"/>
      <c r="S46"/>
      <c r="T46"/>
      <c r="U46"/>
      <c r="V46"/>
      <c r="W46"/>
    </row>
    <row r="47" spans="1:23" x14ac:dyDescent="0.25">
      <c r="M47"/>
      <c r="N47"/>
      <c r="O47"/>
      <c r="P47"/>
      <c r="Q47"/>
      <c r="R47"/>
      <c r="S47"/>
      <c r="T47"/>
      <c r="U47"/>
      <c r="V47"/>
      <c r="W47"/>
    </row>
    <row r="48" spans="1:23" x14ac:dyDescent="0.25">
      <c r="M48"/>
      <c r="N48"/>
      <c r="O48"/>
      <c r="P48"/>
      <c r="Q48"/>
      <c r="R48"/>
      <c r="S48"/>
      <c r="T48"/>
      <c r="U48"/>
      <c r="V48"/>
      <c r="W48"/>
    </row>
    <row r="49" spans="4:23" x14ac:dyDescent="0.25">
      <c r="M49"/>
      <c r="N49"/>
      <c r="O49"/>
      <c r="P49"/>
      <c r="Q49"/>
      <c r="R49"/>
      <c r="S49"/>
      <c r="T49"/>
      <c r="U49"/>
      <c r="V49"/>
      <c r="W49"/>
    </row>
    <row r="50" spans="4:23" x14ac:dyDescent="0.25">
      <c r="H50" s="17"/>
      <c r="J50" s="17"/>
      <c r="M50"/>
      <c r="N50"/>
      <c r="O50"/>
      <c r="P50"/>
      <c r="Q50"/>
      <c r="R50"/>
      <c r="S50"/>
      <c r="T50"/>
      <c r="U50"/>
      <c r="V50"/>
      <c r="W50"/>
    </row>
    <row r="51" spans="4:23" x14ac:dyDescent="0.25">
      <c r="H51" s="17"/>
      <c r="J51" s="17"/>
      <c r="M51"/>
      <c r="N51"/>
      <c r="O51"/>
      <c r="P51"/>
      <c r="Q51"/>
      <c r="R51"/>
      <c r="S51"/>
      <c r="T51"/>
      <c r="U51"/>
      <c r="V51"/>
      <c r="W51"/>
    </row>
    <row r="52" spans="4:23" x14ac:dyDescent="0.25">
      <c r="H52" s="17"/>
      <c r="J52" s="17"/>
      <c r="M52"/>
      <c r="N52"/>
      <c r="O52"/>
      <c r="P52"/>
      <c r="Q52"/>
      <c r="R52"/>
      <c r="S52"/>
      <c r="T52"/>
      <c r="U52"/>
      <c r="V52"/>
      <c r="W52"/>
    </row>
    <row r="53" spans="4:23" x14ac:dyDescent="0.25">
      <c r="H53" s="17"/>
      <c r="J53" s="17"/>
      <c r="M53"/>
      <c r="N53"/>
      <c r="O53"/>
      <c r="P53"/>
      <c r="Q53"/>
      <c r="R53"/>
      <c r="S53"/>
      <c r="T53"/>
      <c r="U53"/>
      <c r="V53"/>
      <c r="W53"/>
    </row>
    <row r="54" spans="4:23" x14ac:dyDescent="0.25">
      <c r="E54" s="17"/>
      <c r="G54" s="17"/>
      <c r="H54" s="17"/>
      <c r="J54" s="17"/>
      <c r="M54"/>
      <c r="N54"/>
      <c r="O54"/>
      <c r="P54"/>
      <c r="Q54"/>
      <c r="R54"/>
      <c r="S54"/>
      <c r="T54"/>
      <c r="U54"/>
      <c r="V54"/>
      <c r="W54"/>
    </row>
    <row r="55" spans="4:23" x14ac:dyDescent="0.25">
      <c r="E55" s="17"/>
      <c r="G55" s="17"/>
      <c r="H55" s="17"/>
      <c r="J55" s="17"/>
      <c r="M55"/>
      <c r="N55"/>
      <c r="O55"/>
      <c r="P55"/>
      <c r="Q55"/>
      <c r="R55"/>
      <c r="S55"/>
      <c r="T55"/>
      <c r="U55"/>
      <c r="V55"/>
      <c r="W55"/>
    </row>
    <row r="56" spans="4:23" x14ac:dyDescent="0.25">
      <c r="E56" s="17"/>
      <c r="G56" s="17"/>
      <c r="H56" s="17"/>
      <c r="J56" s="17"/>
      <c r="M56"/>
      <c r="N56"/>
      <c r="O56"/>
      <c r="P56"/>
      <c r="Q56"/>
      <c r="R56"/>
      <c r="S56"/>
      <c r="T56"/>
      <c r="U56"/>
      <c r="V56"/>
      <c r="W56"/>
    </row>
    <row r="57" spans="4:23" x14ac:dyDescent="0.25">
      <c r="E57" s="17"/>
      <c r="G57" s="17"/>
      <c r="H57" s="17"/>
      <c r="J57" s="17"/>
      <c r="M57"/>
      <c r="N57"/>
      <c r="O57"/>
      <c r="P57"/>
      <c r="Q57"/>
      <c r="R57"/>
      <c r="S57"/>
      <c r="T57"/>
      <c r="U57"/>
      <c r="V57"/>
      <c r="W57"/>
    </row>
    <row r="58" spans="4:23" x14ac:dyDescent="0.25">
      <c r="D58" s="17"/>
      <c r="F58" s="17"/>
      <c r="H58" s="17"/>
      <c r="J58" s="17"/>
      <c r="M58"/>
      <c r="N58"/>
      <c r="O58"/>
      <c r="P58"/>
      <c r="Q58"/>
      <c r="R58"/>
      <c r="S58"/>
      <c r="T58"/>
      <c r="U58"/>
      <c r="V58"/>
      <c r="W58"/>
    </row>
    <row r="59" spans="4:23" x14ac:dyDescent="0.25">
      <c r="H59" s="17"/>
      <c r="J59" s="17"/>
      <c r="M59"/>
      <c r="N59"/>
      <c r="O59"/>
      <c r="P59"/>
      <c r="Q59"/>
      <c r="R59"/>
      <c r="S59"/>
      <c r="T59"/>
      <c r="U59"/>
      <c r="V59"/>
      <c r="W59"/>
    </row>
    <row r="60" spans="4:23" x14ac:dyDescent="0.25">
      <c r="H60" s="17"/>
      <c r="J60" s="17"/>
      <c r="M60"/>
      <c r="N60"/>
      <c r="O60"/>
      <c r="P60"/>
      <c r="Q60"/>
      <c r="R60"/>
      <c r="S60"/>
      <c r="T60"/>
      <c r="U60"/>
      <c r="V60"/>
      <c r="W60"/>
    </row>
    <row r="61" spans="4:23" x14ac:dyDescent="0.25">
      <c r="H61" s="17"/>
      <c r="J61" s="17"/>
      <c r="M61"/>
      <c r="N61"/>
      <c r="O61"/>
      <c r="P61"/>
      <c r="Q61"/>
      <c r="R61"/>
      <c r="S61"/>
      <c r="T61"/>
      <c r="U61"/>
      <c r="V61"/>
      <c r="W61"/>
    </row>
    <row r="62" spans="4:23" x14ac:dyDescent="0.25">
      <c r="H62" s="17"/>
      <c r="J62" s="17"/>
    </row>
    <row r="63" spans="4:23" x14ac:dyDescent="0.25">
      <c r="H63" s="17"/>
      <c r="J63" s="17"/>
    </row>
    <row r="64" spans="4:23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B23:K23"/>
    <mergeCell ref="A4:K4"/>
    <mergeCell ref="A3:L3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1" t="s">
        <v>28</v>
      </c>
      <c r="B1" s="251"/>
      <c r="C1" s="251"/>
      <c r="D1" s="251"/>
      <c r="E1" s="251"/>
      <c r="F1" s="251"/>
      <c r="G1" s="251"/>
      <c r="H1" s="56"/>
    </row>
    <row r="2" spans="1:9" s="55" customFormat="1" ht="21" x14ac:dyDescent="0.25">
      <c r="A2" s="252" t="s">
        <v>43</v>
      </c>
      <c r="B2" s="252"/>
      <c r="C2" s="252"/>
      <c r="D2" s="252"/>
      <c r="E2" s="252"/>
      <c r="F2" s="252"/>
      <c r="G2" s="252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3" t="s">
        <v>45</v>
      </c>
      <c r="C6" s="254"/>
      <c r="D6" s="255"/>
      <c r="E6" s="253" t="s">
        <v>44</v>
      </c>
      <c r="F6" s="253" t="s">
        <v>40</v>
      </c>
      <c r="G6" s="259" t="s">
        <v>41</v>
      </c>
      <c r="H6" s="55"/>
      <c r="I6" s="55"/>
    </row>
    <row r="7" spans="1:9" ht="23.45" customHeight="1" thickBot="1" x14ac:dyDescent="0.3">
      <c r="A7" s="60" t="s">
        <v>29</v>
      </c>
      <c r="B7" s="256"/>
      <c r="C7" s="257"/>
      <c r="D7" s="258"/>
      <c r="E7" s="256"/>
      <c r="F7" s="256"/>
      <c r="G7" s="260"/>
      <c r="H7" s="55"/>
      <c r="I7" s="55"/>
    </row>
    <row r="8" spans="1:9" ht="40.5" customHeight="1" thickBot="1" x14ac:dyDescent="0.3">
      <c r="A8" s="59">
        <v>1</v>
      </c>
      <c r="B8" s="248" t="s">
        <v>48</v>
      </c>
      <c r="C8" s="249"/>
      <c r="D8" s="250"/>
      <c r="E8" s="83">
        <v>290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48"/>
      <c r="C9" s="249"/>
      <c r="D9" s="250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48"/>
      <c r="C10" s="249"/>
      <c r="D10" s="250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48"/>
      <c r="C11" s="249"/>
      <c r="D11" s="250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48"/>
      <c r="C14" s="249"/>
      <c r="D14" s="250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48"/>
      <c r="C15" s="249"/>
      <c r="D15" s="250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48"/>
      <c r="C16" s="249"/>
      <c r="D16" s="250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48"/>
      <c r="C17" s="249"/>
      <c r="D17" s="250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48"/>
      <c r="C18" s="249"/>
      <c r="D18" s="250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48"/>
      <c r="C19" s="249"/>
      <c r="D19" s="250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48"/>
      <c r="C20" s="249"/>
      <c r="D20" s="250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48"/>
      <c r="C21" s="249"/>
      <c r="D21" s="250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48"/>
      <c r="C28" s="249"/>
      <c r="D28" s="250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1" t="s">
        <v>28</v>
      </c>
      <c r="B1" s="251"/>
      <c r="C1" s="251"/>
      <c r="D1" s="251"/>
      <c r="E1" s="251"/>
      <c r="F1" s="251"/>
      <c r="G1" s="251"/>
      <c r="H1" s="56"/>
    </row>
    <row r="2" spans="1:9" s="55" customFormat="1" ht="21" x14ac:dyDescent="0.25">
      <c r="A2" s="252" t="s">
        <v>43</v>
      </c>
      <c r="B2" s="252"/>
      <c r="C2" s="252"/>
      <c r="D2" s="252"/>
      <c r="E2" s="252"/>
      <c r="F2" s="252"/>
      <c r="G2" s="252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3" t="s">
        <v>45</v>
      </c>
      <c r="C6" s="254"/>
      <c r="D6" s="255"/>
      <c r="E6" s="253" t="s">
        <v>44</v>
      </c>
      <c r="F6" s="253" t="s">
        <v>40</v>
      </c>
      <c r="G6" s="259" t="s">
        <v>41</v>
      </c>
      <c r="H6" s="55"/>
      <c r="I6" s="55"/>
    </row>
    <row r="7" spans="1:9" ht="23.45" customHeight="1" thickBot="1" x14ac:dyDescent="0.3">
      <c r="A7" s="60" t="s">
        <v>29</v>
      </c>
      <c r="B7" s="256"/>
      <c r="C7" s="257"/>
      <c r="D7" s="258"/>
      <c r="E7" s="256"/>
      <c r="F7" s="256"/>
      <c r="G7" s="260"/>
      <c r="H7" s="55"/>
      <c r="I7" s="55"/>
    </row>
    <row r="8" spans="1:9" ht="40.5" customHeight="1" thickBot="1" x14ac:dyDescent="0.3">
      <c r="A8" s="59">
        <v>1</v>
      </c>
      <c r="B8" s="248" t="s">
        <v>49</v>
      </c>
      <c r="C8" s="249"/>
      <c r="D8" s="250"/>
      <c r="E8" s="83">
        <v>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48"/>
      <c r="C9" s="249"/>
      <c r="D9" s="250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48"/>
      <c r="C10" s="249"/>
      <c r="D10" s="250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48"/>
      <c r="C11" s="249"/>
      <c r="D11" s="250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48"/>
      <c r="C14" s="249"/>
      <c r="D14" s="250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48"/>
      <c r="C15" s="249"/>
      <c r="D15" s="250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48"/>
      <c r="C16" s="249"/>
      <c r="D16" s="250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48"/>
      <c r="C17" s="249"/>
      <c r="D17" s="250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48"/>
      <c r="C18" s="249"/>
      <c r="D18" s="250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48"/>
      <c r="C19" s="249"/>
      <c r="D19" s="250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48"/>
      <c r="C20" s="249"/>
      <c r="D20" s="250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48"/>
      <c r="C21" s="249"/>
      <c r="D21" s="250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48"/>
      <c r="C28" s="249"/>
      <c r="D28" s="250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1" t="s">
        <v>28</v>
      </c>
      <c r="B1" s="251"/>
      <c r="C1" s="251"/>
      <c r="D1" s="251"/>
      <c r="E1" s="251"/>
      <c r="F1" s="251"/>
      <c r="G1" s="251"/>
      <c r="H1" s="56"/>
    </row>
    <row r="2" spans="1:9" s="55" customFormat="1" ht="21" x14ac:dyDescent="0.25">
      <c r="A2" s="252" t="s">
        <v>43</v>
      </c>
      <c r="B2" s="252"/>
      <c r="C2" s="252"/>
      <c r="D2" s="252"/>
      <c r="E2" s="252"/>
      <c r="F2" s="252"/>
      <c r="G2" s="252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3" t="s">
        <v>45</v>
      </c>
      <c r="C6" s="254"/>
      <c r="D6" s="255"/>
      <c r="E6" s="253" t="s">
        <v>44</v>
      </c>
      <c r="F6" s="253" t="s">
        <v>40</v>
      </c>
      <c r="G6" s="259" t="s">
        <v>41</v>
      </c>
      <c r="H6" s="55"/>
      <c r="I6" s="55"/>
    </row>
    <row r="7" spans="1:9" ht="23.45" customHeight="1" thickBot="1" x14ac:dyDescent="0.3">
      <c r="A7" s="60" t="s">
        <v>29</v>
      </c>
      <c r="B7" s="256"/>
      <c r="C7" s="257"/>
      <c r="D7" s="258"/>
      <c r="E7" s="256"/>
      <c r="F7" s="256"/>
      <c r="G7" s="260"/>
      <c r="H7" s="55"/>
      <c r="I7" s="55"/>
    </row>
    <row r="8" spans="1:9" ht="40.5" customHeight="1" thickBot="1" x14ac:dyDescent="0.3">
      <c r="A8" s="59">
        <v>1</v>
      </c>
      <c r="B8" s="261" t="s">
        <v>50</v>
      </c>
      <c r="C8" s="262"/>
      <c r="D8" s="263"/>
      <c r="E8" s="83">
        <f>60+50+70+80</f>
        <v>260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48"/>
      <c r="C9" s="249"/>
      <c r="D9" s="250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48"/>
      <c r="C10" s="249"/>
      <c r="D10" s="250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48"/>
      <c r="C11" s="249"/>
      <c r="D11" s="250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48"/>
      <c r="C14" s="249"/>
      <c r="D14" s="250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48"/>
      <c r="C15" s="249"/>
      <c r="D15" s="250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48"/>
      <c r="C16" s="249"/>
      <c r="D16" s="250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48"/>
      <c r="C17" s="249"/>
      <c r="D17" s="250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48"/>
      <c r="C18" s="249"/>
      <c r="D18" s="250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48"/>
      <c r="C19" s="249"/>
      <c r="D19" s="250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48"/>
      <c r="C20" s="249"/>
      <c r="D20" s="250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48"/>
      <c r="C21" s="249"/>
      <c r="D21" s="250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48"/>
      <c r="C28" s="249"/>
      <c r="D28" s="250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1" t="s">
        <v>28</v>
      </c>
      <c r="B1" s="251"/>
      <c r="C1" s="251"/>
      <c r="D1" s="251"/>
      <c r="E1" s="251"/>
      <c r="F1" s="251"/>
      <c r="G1" s="251"/>
      <c r="H1" s="56"/>
    </row>
    <row r="2" spans="1:9" s="55" customFormat="1" ht="21" x14ac:dyDescent="0.25">
      <c r="A2" s="252" t="s">
        <v>43</v>
      </c>
      <c r="B2" s="252"/>
      <c r="C2" s="252"/>
      <c r="D2" s="252"/>
      <c r="E2" s="252"/>
      <c r="F2" s="252"/>
      <c r="G2" s="252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3" t="s">
        <v>45</v>
      </c>
      <c r="C6" s="254"/>
      <c r="D6" s="255"/>
      <c r="E6" s="253" t="s">
        <v>44</v>
      </c>
      <c r="F6" s="253" t="s">
        <v>40</v>
      </c>
      <c r="G6" s="259" t="s">
        <v>41</v>
      </c>
      <c r="H6" s="55"/>
      <c r="I6" s="55"/>
    </row>
    <row r="7" spans="1:9" ht="23.45" customHeight="1" thickBot="1" x14ac:dyDescent="0.3">
      <c r="A7" s="60" t="s">
        <v>29</v>
      </c>
      <c r="B7" s="256"/>
      <c r="C7" s="257"/>
      <c r="D7" s="258"/>
      <c r="E7" s="256"/>
      <c r="F7" s="256"/>
      <c r="G7" s="260"/>
      <c r="H7" s="55"/>
      <c r="I7" s="55"/>
    </row>
    <row r="8" spans="1:9" ht="40.5" customHeight="1" thickBot="1" x14ac:dyDescent="0.3">
      <c r="A8" s="59">
        <v>1</v>
      </c>
      <c r="B8" s="261" t="s">
        <v>51</v>
      </c>
      <c r="C8" s="262"/>
      <c r="D8" s="263"/>
      <c r="E8" s="83">
        <v>150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48"/>
      <c r="C9" s="249"/>
      <c r="D9" s="250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48"/>
      <c r="C10" s="249"/>
      <c r="D10" s="250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48"/>
      <c r="C11" s="249"/>
      <c r="D11" s="250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48"/>
      <c r="C14" s="249"/>
      <c r="D14" s="250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48"/>
      <c r="C15" s="249"/>
      <c r="D15" s="250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48"/>
      <c r="C16" s="249"/>
      <c r="D16" s="250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48"/>
      <c r="C17" s="249"/>
      <c r="D17" s="250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48"/>
      <c r="C18" s="249"/>
      <c r="D18" s="250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48"/>
      <c r="C19" s="249"/>
      <c r="D19" s="250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48"/>
      <c r="C20" s="249"/>
      <c r="D20" s="250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48"/>
      <c r="C21" s="249"/>
      <c r="D21" s="250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48"/>
      <c r="C28" s="249"/>
      <c r="D28" s="250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0"/>
  <sheetViews>
    <sheetView showGridLines="0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7.710937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6.7109375" style="18" customWidth="1"/>
    <col min="10" max="10" width="1.5703125" style="18" customWidth="1"/>
    <col min="11" max="12" width="15.8554687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15" ht="6" customHeight="1" x14ac:dyDescent="0.25"/>
    <row r="2" spans="1:15" ht="20.25" x14ac:dyDescent="0.25">
      <c r="A2" s="219" t="s">
        <v>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5" ht="20.25" x14ac:dyDescent="0.25">
      <c r="A3" s="219" t="s">
        <v>71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5" ht="20.25" x14ac:dyDescent="0.25">
      <c r="A4" s="219" t="str">
        <f>"Quarterly Analysis Statement, " &amp;VLOOKUP(CurrQtr,LKQtr,5)&amp;", "&amp;CurrentYr</f>
        <v>Quarterly Analysis Statement, 4th Quarter, 2024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5" ht="9.9499999999999993" customHeight="1" thickBot="1" x14ac:dyDescent="0.3">
      <c r="G5" s="17"/>
      <c r="H5" s="17"/>
      <c r="I5" s="17"/>
      <c r="J5" s="17"/>
      <c r="K5" s="17"/>
    </row>
    <row r="6" spans="1:15" ht="6.6" customHeight="1" x14ac:dyDescent="0.25">
      <c r="A6" s="167"/>
      <c r="B6" s="180"/>
      <c r="C6" s="180"/>
      <c r="D6" s="180"/>
      <c r="E6" s="180"/>
      <c r="F6" s="180"/>
      <c r="G6" s="181"/>
      <c r="H6" s="181"/>
      <c r="I6" s="181"/>
      <c r="J6" s="181"/>
      <c r="K6" s="182"/>
    </row>
    <row r="7" spans="1:15" ht="47.25" x14ac:dyDescent="0.2">
      <c r="A7" s="169"/>
      <c r="B7" s="98" t="s">
        <v>32</v>
      </c>
      <c r="E7" s="97" t="s">
        <v>128</v>
      </c>
      <c r="G7" s="97" t="s">
        <v>129</v>
      </c>
      <c r="H7" s="17"/>
      <c r="I7" s="97" t="s">
        <v>130</v>
      </c>
      <c r="J7" s="17"/>
      <c r="K7" s="183" t="s">
        <v>135</v>
      </c>
    </row>
    <row r="8" spans="1:15" x14ac:dyDescent="0.25">
      <c r="A8" s="169"/>
      <c r="B8" s="93">
        <v>1000</v>
      </c>
      <c r="C8" s="17" t="str">
        <f>IF(B8="","",VLOOKUP(B8,Chart,2))</f>
        <v>Fidelity Investments</v>
      </c>
      <c r="E8" s="19">
        <f>VLOOKUP(3,BankAccounts,4)</f>
        <v>197954.64</v>
      </c>
      <c r="G8" s="19">
        <f>VLOOKUP(6,BankAccounts,4)</f>
        <v>200206.74</v>
      </c>
      <c r="H8" s="17"/>
      <c r="I8" s="19">
        <f>VLOOKUP(9,BankAccounts,4)</f>
        <v>211280.36000000002</v>
      </c>
      <c r="J8" s="17"/>
      <c r="K8" s="184">
        <f>VLOOKUP(12,BankAccounts,4)</f>
        <v>205193.66</v>
      </c>
      <c r="M8" s="20"/>
      <c r="N8" s="19"/>
      <c r="O8" s="19"/>
    </row>
    <row r="9" spans="1:15" x14ac:dyDescent="0.25">
      <c r="A9" s="169"/>
      <c r="B9" s="93">
        <v>1020</v>
      </c>
      <c r="C9" s="17" t="str">
        <f>IF(B9="","",VLOOKUP(B9,Chart,2))</f>
        <v>Racine Community Foundation</v>
      </c>
      <c r="E9" s="19">
        <f>VLOOKUP(3,BankAccounts,7)</f>
        <v>28937.54</v>
      </c>
      <c r="G9" s="19">
        <f>VLOOKUP(6,BankAccounts,7)</f>
        <v>28937.54</v>
      </c>
      <c r="H9" s="17"/>
      <c r="I9" s="19">
        <f>VLOOKUP(9,BankAccounts,7)</f>
        <v>28937.54</v>
      </c>
      <c r="J9" s="17"/>
      <c r="K9" s="184">
        <f>VLOOKUP(12,BankAccounts,7)</f>
        <v>28937.54</v>
      </c>
      <c r="N9" s="20"/>
    </row>
    <row r="10" spans="1:15" ht="16.5" thickBot="1" x14ac:dyDescent="0.3">
      <c r="A10" s="169"/>
      <c r="B10" s="43" t="s">
        <v>31</v>
      </c>
      <c r="C10" s="43"/>
      <c r="D10" s="43"/>
      <c r="E10" s="62">
        <f>SUM(E8:E9)</f>
        <v>226892.18000000002</v>
      </c>
      <c r="F10" s="43"/>
      <c r="G10" s="62">
        <f>SUM(G8:G9)</f>
        <v>229144.28</v>
      </c>
      <c r="H10" s="17"/>
      <c r="I10" s="62">
        <f>SUM(I8:I9)</f>
        <v>240217.90000000002</v>
      </c>
      <c r="J10" s="17"/>
      <c r="K10" s="185">
        <f>SUM(K8:K9)</f>
        <v>234131.20000000001</v>
      </c>
      <c r="M10" s="20"/>
      <c r="N10" s="20"/>
    </row>
    <row r="11" spans="1:15" ht="16.5" hidden="1" thickTop="1" x14ac:dyDescent="0.25">
      <c r="A11" s="169"/>
      <c r="E11" s="20"/>
      <c r="G11" s="97" t="str">
        <f>VLOOKUP(CurrQtr,LKQtr,2)</f>
        <v>October</v>
      </c>
      <c r="H11" s="17"/>
      <c r="I11" s="97" t="str">
        <f>VLOOKUP(CurrQtr,LKQtr,2)</f>
        <v>October</v>
      </c>
      <c r="J11" s="17"/>
      <c r="K11" s="183" t="str">
        <f>VLOOKUP(CurrQtr,LKQtr,2)</f>
        <v>October</v>
      </c>
    </row>
    <row r="12" spans="1:15" ht="16.5" thickTop="1" x14ac:dyDescent="0.25">
      <c r="A12" s="169"/>
      <c r="C12" s="105" t="s">
        <v>171</v>
      </c>
      <c r="D12" s="212"/>
      <c r="E12" s="215">
        <f>(E26+E27)/'Quarterly Statement'!E10</f>
        <v>3.4081848188665373E-2</v>
      </c>
      <c r="F12" s="216"/>
      <c r="G12" s="215">
        <f>IF(G10=0,0,(G26+G27)/E10)</f>
        <v>9.5953064578955492E-3</v>
      </c>
      <c r="H12" s="217"/>
      <c r="I12" s="215">
        <f>IF(I10=0,0,(I26+I27)/G10)</f>
        <v>4.8325971741472226E-2</v>
      </c>
      <c r="J12" s="217"/>
      <c r="K12" s="218">
        <f>IF(K10=0,0,(K26+K27)/I10)</f>
        <v>-2.5338244985073966E-2</v>
      </c>
      <c r="L12" s="200"/>
    </row>
    <row r="13" spans="1:15" ht="3.95" customHeight="1" x14ac:dyDescent="0.25">
      <c r="A13" s="169"/>
      <c r="E13" s="20"/>
      <c r="G13" s="20"/>
      <c r="H13" s="17"/>
      <c r="I13" s="17"/>
      <c r="J13" s="17"/>
      <c r="K13" s="187"/>
    </row>
    <row r="14" spans="1:15" x14ac:dyDescent="0.25">
      <c r="A14" s="169"/>
      <c r="B14" s="18" t="s">
        <v>75</v>
      </c>
      <c r="E14" s="20"/>
      <c r="G14" s="20"/>
      <c r="H14" s="17"/>
      <c r="I14" s="17"/>
      <c r="J14" s="17"/>
      <c r="K14" s="186"/>
    </row>
    <row r="15" spans="1:15" x14ac:dyDescent="0.25">
      <c r="A15" s="169"/>
      <c r="C15" s="18" t="s">
        <v>69</v>
      </c>
      <c r="E15" s="19">
        <f>VLOOKUP(3,BankAccounts,11)</f>
        <v>135527.65</v>
      </c>
      <c r="G15" s="19">
        <f>VLOOKUP(6,BankAccounts,11)</f>
        <v>135602.65</v>
      </c>
      <c r="H15" s="17"/>
      <c r="I15" s="19">
        <f>VLOOKUP(9,BankAccounts,11)</f>
        <v>135602.65</v>
      </c>
      <c r="J15" s="17"/>
      <c r="K15" s="184">
        <f>VLOOKUP(12,BankAccounts,11)</f>
        <v>135602.65</v>
      </c>
      <c r="M15" s="20"/>
      <c r="O15" s="122"/>
    </row>
    <row r="16" spans="1:15" x14ac:dyDescent="0.25">
      <c r="A16" s="169"/>
      <c r="C16" s="18" t="s">
        <v>122</v>
      </c>
      <c r="E16" s="20">
        <f>+E10-E15</f>
        <v>91364.530000000028</v>
      </c>
      <c r="F16" s="20">
        <f t="shared" ref="F16:K16" si="0">+F10-F15</f>
        <v>0</v>
      </c>
      <c r="G16" s="20">
        <f t="shared" si="0"/>
        <v>93541.63</v>
      </c>
      <c r="H16" s="20">
        <f t="shared" si="0"/>
        <v>0</v>
      </c>
      <c r="I16" s="20">
        <f t="shared" si="0"/>
        <v>104615.25000000003</v>
      </c>
      <c r="J16" s="20">
        <f t="shared" si="0"/>
        <v>0</v>
      </c>
      <c r="K16" s="172">
        <f t="shared" si="0"/>
        <v>98528.550000000017</v>
      </c>
      <c r="M16" s="20"/>
    </row>
    <row r="17" spans="1:15" x14ac:dyDescent="0.25">
      <c r="A17" s="169"/>
      <c r="B17" s="116"/>
      <c r="C17" s="18" t="str">
        <f>Reserve*100&amp;"% Reserve (of available funds)"</f>
        <v>15% Reserve (of available funds)</v>
      </c>
      <c r="E17" s="20">
        <f t="shared" ref="E17:K17" si="1">+E16*Reserve</f>
        <v>13704.679500000004</v>
      </c>
      <c r="F17" s="20">
        <f t="shared" si="1"/>
        <v>0</v>
      </c>
      <c r="G17" s="20">
        <f t="shared" si="1"/>
        <v>14031.244500000001</v>
      </c>
      <c r="H17" s="20">
        <f t="shared" si="1"/>
        <v>0</v>
      </c>
      <c r="I17" s="20">
        <f t="shared" si="1"/>
        <v>15692.287500000004</v>
      </c>
      <c r="J17" s="20">
        <f t="shared" si="1"/>
        <v>0</v>
      </c>
      <c r="K17" s="172">
        <f t="shared" si="1"/>
        <v>14779.282500000001</v>
      </c>
      <c r="M17" s="20"/>
      <c r="O17" s="122"/>
    </row>
    <row r="18" spans="1:15" ht="16.5" thickBot="1" x14ac:dyDescent="0.3">
      <c r="A18" s="169"/>
      <c r="B18" s="43" t="s">
        <v>77</v>
      </c>
      <c r="C18" s="43"/>
      <c r="D18" s="43"/>
      <c r="E18" s="62">
        <f>+E16-E17</f>
        <v>77659.85050000003</v>
      </c>
      <c r="F18" s="62">
        <f t="shared" ref="F18:K18" si="2">+F16-F17</f>
        <v>0</v>
      </c>
      <c r="G18" s="62">
        <f t="shared" si="2"/>
        <v>79510.385500000004</v>
      </c>
      <c r="H18" s="62">
        <f t="shared" si="2"/>
        <v>0</v>
      </c>
      <c r="I18" s="62">
        <f t="shared" si="2"/>
        <v>88922.962500000023</v>
      </c>
      <c r="J18" s="62">
        <f t="shared" si="2"/>
        <v>0</v>
      </c>
      <c r="K18" s="185">
        <f t="shared" si="2"/>
        <v>83749.267500000016</v>
      </c>
      <c r="M18" s="20"/>
    </row>
    <row r="19" spans="1:15" ht="16.5" thickTop="1" x14ac:dyDescent="0.25">
      <c r="A19" s="169"/>
      <c r="B19" s="43"/>
      <c r="C19" s="153" t="s">
        <v>121</v>
      </c>
      <c r="D19" s="43"/>
      <c r="E19" s="120"/>
      <c r="F19" s="120"/>
      <c r="G19" s="120"/>
      <c r="H19" s="120"/>
      <c r="I19" s="120"/>
      <c r="J19" s="120"/>
      <c r="K19" s="188"/>
      <c r="M19" s="20"/>
    </row>
    <row r="20" spans="1:15" ht="15.75" x14ac:dyDescent="0.25">
      <c r="A20" s="169"/>
      <c r="B20" s="43" t="str">
        <f>"Reasonable &amp; Prudent Annual Spendable ("&amp;QtrTitle &amp; ")"</f>
        <v>Reasonable &amp; Prudent Annual Spendable (4.0% of Rolling 20 qtrs Avg Total Assets)</v>
      </c>
      <c r="C20" s="121"/>
      <c r="D20" s="43"/>
      <c r="E20" s="120"/>
      <c r="F20" s="120"/>
      <c r="G20" s="120"/>
      <c r="H20" s="120"/>
      <c r="I20" s="120"/>
      <c r="J20" s="120"/>
      <c r="K20" s="188">
        <f ca="1">QtrRollingAvgPct</f>
        <v>8017.1390200000005</v>
      </c>
      <c r="M20" s="20"/>
      <c r="N20" s="20"/>
    </row>
    <row r="21" spans="1:15" ht="17.25" customHeight="1" thickBot="1" x14ac:dyDescent="0.3">
      <c r="A21" s="176"/>
      <c r="B21" s="264" t="str">
        <f>"YTD Total Return: "&amp;TEXT(($L$26+$L$27)/'Quarterly Statement'!E10,"0.0%")</f>
        <v>YTD Total Return: 6.4%</v>
      </c>
      <c r="C21" s="265"/>
      <c r="D21" s="177"/>
      <c r="E21" s="209"/>
      <c r="F21" s="177"/>
      <c r="G21" s="189"/>
      <c r="H21" s="178"/>
      <c r="I21" s="178"/>
      <c r="J21" s="178"/>
      <c r="K21" s="190"/>
    </row>
    <row r="22" spans="1:15" ht="9.9499999999999993" customHeight="1" thickBot="1" x14ac:dyDescent="0.3">
      <c r="E22" s="23"/>
      <c r="G22" s="23"/>
      <c r="K22" s="89"/>
    </row>
    <row r="23" spans="1:15" ht="25.5" customHeight="1" x14ac:dyDescent="0.25">
      <c r="A23" s="167"/>
      <c r="B23" s="222" t="s">
        <v>37</v>
      </c>
      <c r="C23" s="222"/>
      <c r="D23" s="222"/>
      <c r="E23" s="222"/>
      <c r="F23" s="222"/>
      <c r="G23" s="222"/>
      <c r="H23" s="222"/>
      <c r="I23" s="222"/>
      <c r="J23" s="222"/>
      <c r="K23" s="222"/>
      <c r="L23" s="168"/>
    </row>
    <row r="24" spans="1:15" ht="31.5" x14ac:dyDescent="0.25">
      <c r="A24" s="169"/>
      <c r="B24" s="106" t="s">
        <v>33</v>
      </c>
      <c r="E24" s="221" t="s">
        <v>131</v>
      </c>
      <c r="F24" s="221"/>
      <c r="G24" s="221" t="s">
        <v>132</v>
      </c>
      <c r="H24" s="221"/>
      <c r="I24" s="221" t="s">
        <v>133</v>
      </c>
      <c r="J24" s="221"/>
      <c r="K24" s="164" t="s">
        <v>136</v>
      </c>
      <c r="L24" s="170" t="s">
        <v>134</v>
      </c>
    </row>
    <row r="25" spans="1:15" x14ac:dyDescent="0.25">
      <c r="A25" s="169"/>
      <c r="B25" s="105">
        <v>4000</v>
      </c>
      <c r="C25" s="17" t="str">
        <f>VLOOKUP(B25,Accounts,2)</f>
        <v>Contributions (Principal Increase)</v>
      </c>
      <c r="E25" s="165">
        <f>SUMPRODUCT(SUMIFS(SumRevenue,SumMonth,SumQ1,SumAccount,$B25))</f>
        <v>250</v>
      </c>
      <c r="F25" s="19"/>
      <c r="G25" s="165">
        <f>SUMPRODUCT(SUMIFS(SumRevenue,SumMonth,SumQ2,SumAccount,$B25))</f>
        <v>75</v>
      </c>
      <c r="H25" s="19"/>
      <c r="I25" s="165">
        <f>SUMPRODUCT(SUMIFS(SumRevenue,SumMonth,SumQ3,SumAccount,$B25))</f>
        <v>0</v>
      </c>
      <c r="J25" s="19"/>
      <c r="K25" s="165">
        <f>SUMPRODUCT(SUMIFS(SumRevenue,SumMonth,SumQ4,SumAccount,$B25))</f>
        <v>0</v>
      </c>
      <c r="L25" s="171">
        <f>SUM(K25,I25,G25,E25)</f>
        <v>325</v>
      </c>
      <c r="M25" s="166"/>
    </row>
    <row r="26" spans="1:15" x14ac:dyDescent="0.25">
      <c r="A26" s="169"/>
      <c r="B26" s="105">
        <v>4010</v>
      </c>
      <c r="C26" s="17" t="str">
        <f>VLOOKUP(B26,Accounts,2)</f>
        <v>Interest</v>
      </c>
      <c r="E26" s="165">
        <f>SUMPRODUCT(SUMIFS(SumRevenue,SumMonth,SumQ1,SumAccount,$B26))</f>
        <v>0</v>
      </c>
      <c r="G26" s="19">
        <f>SUMPRODUCT(SUMIFS(SumRevenue,SumMonth,SumQ2,SumAccount,$B26))</f>
        <v>0</v>
      </c>
      <c r="H26" s="17"/>
      <c r="I26" s="19">
        <f>SUMPRODUCT(SUMIFS(SumRevenue,SumMonth,SumQ3,SumAccount,$B26))</f>
        <v>0</v>
      </c>
      <c r="J26" s="17"/>
      <c r="K26" s="20">
        <f>SUMPRODUCT(SUMIFS(SumRevenue,SumMonth,SumQ4,SumAccount,$B26))</f>
        <v>0</v>
      </c>
      <c r="L26" s="172">
        <f t="shared" ref="L26:L28" si="3">SUM(K26,I26,G26,E26)</f>
        <v>0</v>
      </c>
      <c r="M26" s="20"/>
    </row>
    <row r="27" spans="1:15" x14ac:dyDescent="0.25">
      <c r="A27" s="169"/>
      <c r="B27" s="105">
        <v>4020</v>
      </c>
      <c r="C27" s="17" t="str">
        <f>VLOOKUP(B27,Accounts,2)&amp;" (Net)"</f>
        <v>Change in Investment Value (Net)</v>
      </c>
      <c r="E27" s="107">
        <f>SUMPRODUCT(SUMIFS(SumRevenue,SumMonth,SumQ1,SumAccount,$B27))</f>
        <v>8187.07</v>
      </c>
      <c r="F27" s="108"/>
      <c r="G27" s="107">
        <f>SUMPRODUCT(SUMIFS(SumRevenue,SumMonth,SumQ2,SumAccount,$B27))</f>
        <v>2177.0999999999995</v>
      </c>
      <c r="H27" s="109"/>
      <c r="I27" s="107">
        <f>SUMPRODUCT(SUMIFS(SumRevenue,SumMonth,SumQ3,SumAccount,$B27))</f>
        <v>11073.619999999999</v>
      </c>
      <c r="J27" s="109"/>
      <c r="K27" s="110">
        <f>SUMPRODUCT(SUMIFS(SumRevenue,SumMonth,SumQ4,SumAccount,$B27))</f>
        <v>-6086.7</v>
      </c>
      <c r="L27" s="173">
        <f t="shared" si="3"/>
        <v>15351.089999999998</v>
      </c>
    </row>
    <row r="28" spans="1:15" ht="20.25" x14ac:dyDescent="0.25">
      <c r="A28" s="169"/>
      <c r="B28" s="43" t="s">
        <v>34</v>
      </c>
      <c r="C28" s="61"/>
      <c r="D28" s="63"/>
      <c r="E28" s="64">
        <f>SUM(E25:E27)</f>
        <v>8437.07</v>
      </c>
      <c r="F28" s="63"/>
      <c r="G28" s="64">
        <f>SUM(G25:G27)</f>
        <v>2252.0999999999995</v>
      </c>
      <c r="H28" s="61"/>
      <c r="I28" s="64">
        <f>SUM(I25:I27)</f>
        <v>11073.619999999999</v>
      </c>
      <c r="J28" s="65"/>
      <c r="K28" s="64">
        <f>SUM(K25:K27)</f>
        <v>-6086.7</v>
      </c>
      <c r="L28" s="174">
        <f t="shared" si="3"/>
        <v>15676.089999999998</v>
      </c>
      <c r="M28" s="20"/>
    </row>
    <row r="29" spans="1:15" ht="7.5" customHeight="1" x14ac:dyDescent="0.25">
      <c r="A29" s="169"/>
      <c r="C29" s="17"/>
      <c r="D29" s="21"/>
      <c r="E29" s="19"/>
      <c r="F29" s="21"/>
      <c r="G29" s="19"/>
      <c r="H29" s="17"/>
      <c r="I29" s="19"/>
      <c r="J29" s="22"/>
      <c r="K29" s="20"/>
      <c r="L29" s="172"/>
    </row>
    <row r="30" spans="1:15" ht="17.25" x14ac:dyDescent="0.25">
      <c r="A30" s="169"/>
      <c r="B30" s="43" t="s">
        <v>35</v>
      </c>
      <c r="C30" s="17"/>
      <c r="D30" s="21"/>
      <c r="E30" s="19"/>
      <c r="F30" s="21"/>
      <c r="G30" s="19"/>
      <c r="H30" s="17"/>
      <c r="I30" s="19"/>
      <c r="J30" s="22"/>
      <c r="K30" s="20"/>
      <c r="L30" s="172"/>
    </row>
    <row r="31" spans="1:15" ht="15.6" customHeight="1" x14ac:dyDescent="0.25">
      <c r="A31" s="169"/>
      <c r="B31" s="105">
        <v>5000</v>
      </c>
      <c r="C31" s="17" t="str">
        <f>VLOOKUP(B31,Accounts,2)</f>
        <v>Grants</v>
      </c>
      <c r="E31" s="19">
        <f>SUMPRODUCT(SUMIFS(SumExp,SumMonth,SumQ1,SumAccount,$B31))</f>
        <v>0</v>
      </c>
      <c r="G31" s="19">
        <f>SUMPRODUCT(SUMIFS(SumExp,SumMonth,SumQ2,SumAccount,$B31))</f>
        <v>0</v>
      </c>
      <c r="H31" s="17"/>
      <c r="I31" s="19">
        <f>SUMPRODUCT(SUMIFS(SumExp,SumMonth,SumQ3,SumAccount,$B31))</f>
        <v>0</v>
      </c>
      <c r="J31" s="17"/>
      <c r="K31" s="20">
        <f>SUMPRODUCT(SUMIFS(SumExp,SumMonth,SumQ4,SumAccount,$B31))</f>
        <v>0</v>
      </c>
      <c r="L31" s="172">
        <f t="shared" ref="L31:L34" si="4">SUM(K31,I31,G31,E31)</f>
        <v>0</v>
      </c>
    </row>
    <row r="32" spans="1:15" ht="15.6" customHeight="1" x14ac:dyDescent="0.25">
      <c r="A32" s="169"/>
      <c r="B32" s="105">
        <v>5010</v>
      </c>
      <c r="C32" s="17" t="str">
        <f>VLOOKUP(B32,Accounts,2)</f>
        <v>Fund Expenses</v>
      </c>
      <c r="E32" s="19">
        <f>SUMPRODUCT(SUMIFS(SumExp,SumMonth,SumQ1,SumAccount,$B32))</f>
        <v>0</v>
      </c>
      <c r="G32" s="19">
        <f>SUMPRODUCT(SUMIFS(SumExp,SumMonth,SumQ2,SumAccount,$B32))</f>
        <v>0</v>
      </c>
      <c r="H32" s="17"/>
      <c r="I32" s="19">
        <f>SUMPRODUCT(SUMIFS(SumExp,SumMonth,SumQ3,SumAccount,$B32))</f>
        <v>0</v>
      </c>
      <c r="J32" s="17"/>
      <c r="K32" s="20">
        <f>SUMPRODUCT(SUMIFS(SumExp,SumMonth,SumQ4,SumAccount,$B32))</f>
        <v>0</v>
      </c>
      <c r="L32" s="172">
        <f t="shared" si="4"/>
        <v>0</v>
      </c>
    </row>
    <row r="33" spans="1:14" ht="15.6" customHeight="1" x14ac:dyDescent="0.25">
      <c r="A33" s="169"/>
      <c r="B33" s="105">
        <v>5050</v>
      </c>
      <c r="C33" s="17" t="str">
        <f>VLOOKUP(B33,Accounts,2)</f>
        <v>Reductions to Principal</v>
      </c>
      <c r="E33" s="107">
        <f>SUMPRODUCT(SUMIFS(SumExp,SumMonth,SumQ1,SumAccount,$B33))</f>
        <v>0</v>
      </c>
      <c r="F33" s="108"/>
      <c r="G33" s="107">
        <f>SUMPRODUCT(SUMIFS(SumExp,SumMonth,SumQ2,SumAccount,$B33))</f>
        <v>0</v>
      </c>
      <c r="H33" s="109"/>
      <c r="I33" s="107">
        <f>SUMPRODUCT(SUMIFS(SumExp,SumMonth,SumQ3,SumAccount,$B33))</f>
        <v>0</v>
      </c>
      <c r="J33" s="109"/>
      <c r="K33" s="110">
        <f>SUMPRODUCT(SUMIFS(SumExp,SumMonth,SumQ4,SumAccount,$B33))</f>
        <v>0</v>
      </c>
      <c r="L33" s="173">
        <f t="shared" si="4"/>
        <v>0</v>
      </c>
    </row>
    <row r="34" spans="1:14" ht="15.6" customHeight="1" x14ac:dyDescent="0.25">
      <c r="A34" s="169"/>
      <c r="B34" s="43" t="s">
        <v>30</v>
      </c>
      <c r="E34" s="64">
        <f>SUM(E31:E33)</f>
        <v>0</v>
      </c>
      <c r="G34" s="64">
        <f>SUM(G31:G33)</f>
        <v>0</v>
      </c>
      <c r="H34" s="61"/>
      <c r="I34" s="64">
        <f>SUM(I31:I33)</f>
        <v>0</v>
      </c>
      <c r="J34" s="65"/>
      <c r="K34" s="64">
        <f>SUM(K31:K33)</f>
        <v>0</v>
      </c>
      <c r="L34" s="174">
        <f t="shared" si="4"/>
        <v>0</v>
      </c>
      <c r="M34" s="20"/>
      <c r="N34" s="20"/>
    </row>
    <row r="35" spans="1:14" ht="9" customHeight="1" x14ac:dyDescent="0.25">
      <c r="A35" s="169"/>
      <c r="B35" s="43"/>
      <c r="E35" s="64"/>
      <c r="G35" s="64"/>
      <c r="H35" s="61"/>
      <c r="I35" s="64"/>
      <c r="J35" s="65"/>
      <c r="K35" s="64"/>
      <c r="L35" s="174"/>
    </row>
    <row r="36" spans="1:14" ht="15.6" customHeight="1" thickBot="1" x14ac:dyDescent="0.3">
      <c r="A36" s="169"/>
      <c r="B36" s="43" t="s">
        <v>36</v>
      </c>
      <c r="E36" s="66">
        <f>+E28-E34</f>
        <v>8437.07</v>
      </c>
      <c r="G36" s="66">
        <f>+G28-G34</f>
        <v>2252.0999999999995</v>
      </c>
      <c r="H36" s="61"/>
      <c r="I36" s="66">
        <f>+I28-I34</f>
        <v>11073.619999999999</v>
      </c>
      <c r="J36" s="65"/>
      <c r="K36" s="66">
        <f>+K28-K34</f>
        <v>-6086.7</v>
      </c>
      <c r="L36" s="175">
        <f>SUM(K36,I36,G36,E36)</f>
        <v>15676.089999999998</v>
      </c>
      <c r="M36" s="20"/>
    </row>
    <row r="37" spans="1:14" ht="11.1" customHeight="1" thickTop="1" thickBot="1" x14ac:dyDescent="0.3">
      <c r="A37" s="176"/>
      <c r="B37" s="177"/>
      <c r="C37" s="177"/>
      <c r="D37" s="177"/>
      <c r="E37" s="177"/>
      <c r="F37" s="177"/>
      <c r="G37" s="177"/>
      <c r="H37" s="178"/>
      <c r="I37" s="177"/>
      <c r="J37" s="178"/>
      <c r="K37" s="177"/>
      <c r="L37" s="179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4" x14ac:dyDescent="0.25">
      <c r="A39" s="18" t="s">
        <v>138</v>
      </c>
      <c r="B39"/>
      <c r="C39"/>
      <c r="D39"/>
      <c r="E39"/>
      <c r="F39"/>
      <c r="G39"/>
      <c r="H39"/>
      <c r="I39"/>
      <c r="J39"/>
      <c r="K39"/>
      <c r="L39"/>
      <c r="M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50" spans="4:10" x14ac:dyDescent="0.25">
      <c r="H50" s="17"/>
      <c r="J50" s="17"/>
    </row>
    <row r="51" spans="4:10" x14ac:dyDescent="0.25">
      <c r="H51" s="17"/>
      <c r="J51" s="17"/>
    </row>
    <row r="52" spans="4:10" x14ac:dyDescent="0.25">
      <c r="H52" s="17"/>
      <c r="J52" s="17"/>
    </row>
    <row r="53" spans="4:10" x14ac:dyDescent="0.25">
      <c r="H53" s="17"/>
      <c r="J53" s="17"/>
    </row>
    <row r="54" spans="4:10" x14ac:dyDescent="0.25">
      <c r="E54" s="17"/>
      <c r="G54" s="17"/>
      <c r="H54" s="17"/>
      <c r="J54" s="17"/>
    </row>
    <row r="55" spans="4:10" x14ac:dyDescent="0.25">
      <c r="E55" s="17"/>
      <c r="G55" s="17"/>
      <c r="H55" s="17"/>
      <c r="J55" s="17"/>
    </row>
    <row r="56" spans="4:10" x14ac:dyDescent="0.25">
      <c r="E56" s="17"/>
      <c r="G56" s="17"/>
      <c r="H56" s="17"/>
      <c r="J56" s="17"/>
    </row>
    <row r="57" spans="4:10" x14ac:dyDescent="0.25">
      <c r="E57" s="17"/>
      <c r="G57" s="17"/>
      <c r="H57" s="17"/>
      <c r="J57" s="17"/>
    </row>
    <row r="58" spans="4:10" x14ac:dyDescent="0.25">
      <c r="D58" s="17"/>
      <c r="F58" s="17"/>
      <c r="H58" s="17"/>
      <c r="J58" s="17"/>
    </row>
    <row r="59" spans="4:10" x14ac:dyDescent="0.25">
      <c r="H59" s="17"/>
      <c r="J59" s="17"/>
    </row>
    <row r="60" spans="4:10" x14ac:dyDescent="0.25">
      <c r="H60" s="17"/>
      <c r="J60" s="17"/>
    </row>
    <row r="61" spans="4:10" x14ac:dyDescent="0.25">
      <c r="H61" s="17"/>
      <c r="J61" s="17"/>
    </row>
    <row r="62" spans="4:10" x14ac:dyDescent="0.25">
      <c r="H62" s="17"/>
      <c r="J62" s="17"/>
    </row>
    <row r="63" spans="4:10" x14ac:dyDescent="0.25">
      <c r="H63" s="17"/>
      <c r="J63" s="17"/>
    </row>
    <row r="64" spans="4:10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A3:L3"/>
    <mergeCell ref="B23:K23"/>
    <mergeCell ref="E24:F24"/>
    <mergeCell ref="G24:H24"/>
    <mergeCell ref="I24:J24"/>
    <mergeCell ref="A4:L4"/>
  </mergeCells>
  <printOptions horizontalCentered="1"/>
  <pageMargins left="0.45" right="0.45" top="0.5" bottom="0.5" header="0.3" footer="0.3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32"/>
  <sheetViews>
    <sheetView showGridLines="0" workbookViewId="0"/>
  </sheetViews>
  <sheetFormatPr defaultColWidth="8.7109375" defaultRowHeight="15" x14ac:dyDescent="0.25"/>
  <cols>
    <col min="1" max="1" width="13.28515625" style="1" customWidth="1"/>
    <col min="2" max="2" width="7.5703125" style="1" customWidth="1"/>
    <col min="3" max="3" width="9.42578125" style="1" bestFit="1" customWidth="1"/>
    <col min="4" max="4" width="19.85546875" style="1" customWidth="1"/>
    <col min="5" max="5" width="10.5703125" style="1" customWidth="1"/>
    <col min="6" max="16384" width="8.7109375" style="1"/>
  </cols>
  <sheetData>
    <row r="2" spans="1:5" x14ac:dyDescent="0.25">
      <c r="A2" s="155"/>
    </row>
    <row r="3" spans="1:5" ht="15.75" x14ac:dyDescent="0.25">
      <c r="A3" s="158" t="s">
        <v>123</v>
      </c>
      <c r="B3" s="163">
        <v>2024</v>
      </c>
    </row>
    <row r="4" spans="1:5" ht="15.75" x14ac:dyDescent="0.25">
      <c r="A4" s="158"/>
      <c r="B4" s="44"/>
    </row>
    <row r="5" spans="1:5" ht="15.75" x14ac:dyDescent="0.25">
      <c r="A5" s="158" t="s">
        <v>124</v>
      </c>
    </row>
    <row r="6" spans="1:5" ht="15.75" x14ac:dyDescent="0.25">
      <c r="A6" s="158" t="s">
        <v>125</v>
      </c>
      <c r="B6" s="163">
        <v>4</v>
      </c>
      <c r="C6" s="1" t="str">
        <f>VLOOKUP(CurrQtr,LKQtr,2)&amp;" - "&amp;VLOOKUP(CurrQtr,LKQtr,4)</f>
        <v>October - December</v>
      </c>
    </row>
    <row r="8" spans="1:5" ht="15.75" x14ac:dyDescent="0.25">
      <c r="A8" s="1" t="s">
        <v>76</v>
      </c>
      <c r="E8" s="157">
        <v>0.15</v>
      </c>
    </row>
    <row r="9" spans="1:5" ht="15.75" x14ac:dyDescent="0.25">
      <c r="E9" s="158"/>
    </row>
    <row r="10" spans="1:5" ht="15.75" x14ac:dyDescent="0.25">
      <c r="A10" s="1" t="s">
        <v>139</v>
      </c>
      <c r="E10" s="157">
        <v>0.04</v>
      </c>
    </row>
    <row r="11" spans="1:5" x14ac:dyDescent="0.25">
      <c r="E11" s="155"/>
    </row>
    <row r="12" spans="1:5" ht="15.75" x14ac:dyDescent="0.25">
      <c r="A12" s="1" t="s">
        <v>140</v>
      </c>
      <c r="E12" s="156">
        <v>20</v>
      </c>
    </row>
    <row r="13" spans="1:5" x14ac:dyDescent="0.25">
      <c r="E13" s="155"/>
    </row>
    <row r="14" spans="1:5" ht="15.75" x14ac:dyDescent="0.25">
      <c r="A14" s="206" t="s">
        <v>168</v>
      </c>
      <c r="E14" s="155"/>
    </row>
    <row r="15" spans="1:5" ht="15.75" x14ac:dyDescent="0.25">
      <c r="A15" s="42" t="s">
        <v>142</v>
      </c>
      <c r="E15" s="155"/>
    </row>
    <row r="16" spans="1:5" x14ac:dyDescent="0.25">
      <c r="A16" s="203" t="s">
        <v>143</v>
      </c>
    </row>
    <row r="17" spans="1:1" x14ac:dyDescent="0.25">
      <c r="A17" s="203" t="s">
        <v>144</v>
      </c>
    </row>
    <row r="18" spans="1:1" x14ac:dyDescent="0.25">
      <c r="A18" s="203" t="s">
        <v>145</v>
      </c>
    </row>
    <row r="20" spans="1:1" ht="15.75" x14ac:dyDescent="0.25">
      <c r="A20" s="42" t="s">
        <v>146</v>
      </c>
    </row>
    <row r="21" spans="1:1" x14ac:dyDescent="0.25">
      <c r="A21" s="204" t="s">
        <v>162</v>
      </c>
    </row>
    <row r="22" spans="1:1" x14ac:dyDescent="0.25">
      <c r="A22" s="204" t="s">
        <v>147</v>
      </c>
    </row>
    <row r="23" spans="1:1" x14ac:dyDescent="0.25">
      <c r="A23" s="204" t="s">
        <v>148</v>
      </c>
    </row>
    <row r="24" spans="1:1" x14ac:dyDescent="0.25">
      <c r="A24" s="204" t="s">
        <v>149</v>
      </c>
    </row>
    <row r="25" spans="1:1" x14ac:dyDescent="0.25">
      <c r="A25" s="204" t="s">
        <v>150</v>
      </c>
    </row>
    <row r="26" spans="1:1" x14ac:dyDescent="0.25">
      <c r="A26" s="204" t="s">
        <v>152</v>
      </c>
    </row>
    <row r="27" spans="1:1" x14ac:dyDescent="0.25">
      <c r="A27" s="204" t="s">
        <v>151</v>
      </c>
    </row>
    <row r="28" spans="1:1" x14ac:dyDescent="0.25">
      <c r="A28" s="204" t="s">
        <v>165</v>
      </c>
    </row>
    <row r="29" spans="1:1" ht="15.75" x14ac:dyDescent="0.25">
      <c r="A29" s="205" t="s">
        <v>164</v>
      </c>
    </row>
    <row r="30" spans="1:1" x14ac:dyDescent="0.25">
      <c r="A30" s="204" t="s">
        <v>166</v>
      </c>
    </row>
    <row r="31" spans="1:1" x14ac:dyDescent="0.25">
      <c r="A31" s="204" t="s">
        <v>167</v>
      </c>
    </row>
    <row r="32" spans="1:1" x14ac:dyDescent="0.25">
      <c r="A32" s="204" t="s">
        <v>161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2"/>
  <sheetViews>
    <sheetView showGridLines="0" zoomScale="80" zoomScaleNormal="80" workbookViewId="0"/>
  </sheetViews>
  <sheetFormatPr defaultColWidth="8.7109375" defaultRowHeight="15" x14ac:dyDescent="0.2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87" customWidth="1"/>
    <col min="5" max="5" width="32.85546875" style="87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59.85546875" style="71" customWidth="1"/>
    <col min="11" max="11" width="9.140625" style="2" bestFit="1" customWidth="1"/>
    <col min="12" max="16384" width="8.7109375" style="2"/>
  </cols>
  <sheetData>
    <row r="1" spans="1:12" s="87" customFormat="1" ht="5.0999999999999996" customHeight="1" x14ac:dyDescent="0.25">
      <c r="H1" s="10"/>
      <c r="J1" s="71"/>
    </row>
    <row r="2" spans="1:12" s="18" customFormat="1" ht="20.25" x14ac:dyDescent="0.25">
      <c r="A2" s="219" t="s">
        <v>70</v>
      </c>
      <c r="B2" s="219"/>
      <c r="C2" s="219"/>
      <c r="D2" s="219"/>
      <c r="E2" s="219"/>
      <c r="F2" s="219"/>
      <c r="G2" s="219"/>
      <c r="H2" s="219"/>
      <c r="I2" s="219"/>
      <c r="J2" s="219"/>
      <c r="K2" s="123"/>
      <c r="L2" s="123"/>
    </row>
    <row r="3" spans="1:12" s="18" customFormat="1" ht="20.25" x14ac:dyDescent="0.25">
      <c r="A3" s="219" t="s">
        <v>71</v>
      </c>
      <c r="B3" s="219"/>
      <c r="C3" s="219"/>
      <c r="D3" s="219"/>
      <c r="E3" s="219"/>
      <c r="F3" s="219"/>
      <c r="G3" s="219"/>
      <c r="H3" s="219"/>
      <c r="I3" s="219"/>
      <c r="J3" s="219"/>
      <c r="K3" s="123"/>
      <c r="L3" s="123"/>
    </row>
    <row r="4" spans="1:12" ht="23.25" x14ac:dyDescent="0.25">
      <c r="B4" s="225" t="str">
        <f>+'Top Level'!B3&amp;" Detail of Transactions"</f>
        <v>2024 Detail of Transactions</v>
      </c>
      <c r="C4" s="225"/>
      <c r="D4" s="225"/>
      <c r="E4" s="225"/>
      <c r="F4" s="225"/>
      <c r="G4" s="225"/>
      <c r="H4" s="225"/>
      <c r="I4" s="225"/>
      <c r="J4" s="225"/>
    </row>
    <row r="5" spans="1:12" ht="11.45" customHeight="1" x14ac:dyDescent="0.25">
      <c r="B5" s="226"/>
      <c r="C5" s="226"/>
      <c r="D5" s="226"/>
      <c r="E5" s="226"/>
      <c r="F5" s="226"/>
      <c r="G5" s="226"/>
      <c r="H5" s="226"/>
      <c r="I5" s="226"/>
      <c r="J5" s="226"/>
    </row>
    <row r="6" spans="1:12" ht="22.5" customHeight="1" x14ac:dyDescent="0.25">
      <c r="B6" s="223" t="s">
        <v>14</v>
      </c>
      <c r="C6" s="223" t="s">
        <v>59</v>
      </c>
      <c r="D6" s="223" t="s">
        <v>126</v>
      </c>
      <c r="E6" s="223" t="s">
        <v>57</v>
      </c>
      <c r="F6" s="223" t="s">
        <v>11</v>
      </c>
      <c r="G6" s="223" t="s">
        <v>12</v>
      </c>
      <c r="H6" s="227" t="s">
        <v>60</v>
      </c>
      <c r="I6" s="227"/>
      <c r="J6" s="51"/>
      <c r="K6" s="223" t="s">
        <v>116</v>
      </c>
    </row>
    <row r="7" spans="1:12" ht="29.1" customHeight="1" x14ac:dyDescent="0.25">
      <c r="B7" s="224"/>
      <c r="C7" s="224"/>
      <c r="D7" s="224"/>
      <c r="E7" s="224"/>
      <c r="F7" s="224"/>
      <c r="G7" s="224"/>
      <c r="H7" s="68" t="s">
        <v>5</v>
      </c>
      <c r="I7" s="68" t="s">
        <v>7</v>
      </c>
      <c r="J7" s="72" t="s">
        <v>2</v>
      </c>
      <c r="K7" s="224"/>
    </row>
    <row r="8" spans="1:12" s="141" customFormat="1" ht="15.75" x14ac:dyDescent="0.25">
      <c r="B8" s="142" t="s">
        <v>15</v>
      </c>
      <c r="C8" s="143"/>
      <c r="D8" s="144">
        <v>1000</v>
      </c>
      <c r="E8" s="145" t="str">
        <f t="shared" ref="E8:E34" si="0">IF($D8="","",VLOOKUP($D8,Chart,2,0))</f>
        <v>Fidelity Investments</v>
      </c>
      <c r="F8" s="146">
        <v>4000</v>
      </c>
      <c r="G8" s="145" t="str">
        <f t="shared" ref="G8:G34" si="1">IF($F8="","",VLOOKUP($F8,Chart,2,0))</f>
        <v>Contributions (Principal Increase)</v>
      </c>
      <c r="H8" s="147">
        <v>50</v>
      </c>
      <c r="I8" s="147"/>
      <c r="J8" s="148" t="s">
        <v>163</v>
      </c>
      <c r="K8" s="207"/>
    </row>
    <row r="9" spans="1:12" s="141" customFormat="1" ht="15.75" x14ac:dyDescent="0.25">
      <c r="B9" s="142" t="s">
        <v>15</v>
      </c>
      <c r="C9" s="143"/>
      <c r="D9" s="146">
        <v>1000</v>
      </c>
      <c r="E9" s="145" t="str">
        <f t="shared" si="0"/>
        <v>Fidelity Investments</v>
      </c>
      <c r="F9" s="146">
        <v>4020</v>
      </c>
      <c r="G9" s="145" t="str">
        <f t="shared" si="1"/>
        <v>Change in Investment Value</v>
      </c>
      <c r="H9" s="147">
        <v>27.4</v>
      </c>
      <c r="I9" s="147"/>
      <c r="J9" s="148" t="s">
        <v>172</v>
      </c>
      <c r="K9" s="207"/>
    </row>
    <row r="10" spans="1:12" s="141" customFormat="1" ht="15.75" x14ac:dyDescent="0.25">
      <c r="B10" s="142" t="s">
        <v>16</v>
      </c>
      <c r="C10" s="143"/>
      <c r="D10" s="146">
        <v>1000</v>
      </c>
      <c r="E10" s="145" t="str">
        <f t="shared" si="0"/>
        <v>Fidelity Investments</v>
      </c>
      <c r="F10" s="146">
        <v>4020</v>
      </c>
      <c r="G10" s="145" t="str">
        <f t="shared" si="1"/>
        <v>Change in Investment Value</v>
      </c>
      <c r="H10" s="147">
        <v>3519.6</v>
      </c>
      <c r="I10" s="147"/>
      <c r="J10" s="148" t="s">
        <v>173</v>
      </c>
      <c r="K10" s="207"/>
    </row>
    <row r="11" spans="1:12" s="141" customFormat="1" ht="15.75" x14ac:dyDescent="0.25">
      <c r="B11" s="142" t="s">
        <v>16</v>
      </c>
      <c r="C11" s="143"/>
      <c r="D11" s="146">
        <v>1000</v>
      </c>
      <c r="E11" s="145" t="str">
        <f t="shared" si="0"/>
        <v>Fidelity Investments</v>
      </c>
      <c r="F11" s="146">
        <v>4000</v>
      </c>
      <c r="G11" s="145" t="str">
        <f t="shared" si="1"/>
        <v>Contributions (Principal Increase)</v>
      </c>
      <c r="H11" s="147">
        <v>200</v>
      </c>
      <c r="I11" s="147"/>
      <c r="J11" s="148" t="s">
        <v>169</v>
      </c>
      <c r="K11" s="207" t="s">
        <v>170</v>
      </c>
    </row>
    <row r="12" spans="1:12" s="141" customFormat="1" ht="15.75" x14ac:dyDescent="0.25">
      <c r="B12" s="142" t="s">
        <v>17</v>
      </c>
      <c r="C12" s="143"/>
      <c r="D12" s="146">
        <v>1000</v>
      </c>
      <c r="E12" s="145" t="str">
        <f t="shared" si="0"/>
        <v>Fidelity Investments</v>
      </c>
      <c r="F12" s="146">
        <v>4020</v>
      </c>
      <c r="G12" s="145" t="str">
        <f t="shared" si="1"/>
        <v>Change in Investment Value</v>
      </c>
      <c r="H12" s="147">
        <v>4640.07</v>
      </c>
      <c r="I12" s="147"/>
      <c r="J12" s="148" t="s">
        <v>174</v>
      </c>
      <c r="K12" s="207"/>
    </row>
    <row r="13" spans="1:12" s="141" customFormat="1" ht="15.75" x14ac:dyDescent="0.25">
      <c r="B13" s="142" t="s">
        <v>18</v>
      </c>
      <c r="C13" s="143"/>
      <c r="D13" s="146">
        <v>1000</v>
      </c>
      <c r="E13" s="145" t="str">
        <f t="shared" si="0"/>
        <v>Fidelity Investments</v>
      </c>
      <c r="F13" s="146">
        <v>4020</v>
      </c>
      <c r="G13" s="145" t="str">
        <f t="shared" si="1"/>
        <v>Change in Investment Value</v>
      </c>
      <c r="H13" s="147">
        <v>-6121.14</v>
      </c>
      <c r="I13" s="147"/>
      <c r="J13" s="148" t="s">
        <v>175</v>
      </c>
      <c r="K13" s="207"/>
    </row>
    <row r="14" spans="1:12" s="141" customFormat="1" ht="15.75" x14ac:dyDescent="0.25">
      <c r="B14" s="142" t="s">
        <v>19</v>
      </c>
      <c r="C14" s="143"/>
      <c r="D14" s="146">
        <v>1000</v>
      </c>
      <c r="E14" s="145" t="str">
        <f t="shared" si="0"/>
        <v>Fidelity Investments</v>
      </c>
      <c r="F14" s="146">
        <v>4020</v>
      </c>
      <c r="G14" s="145" t="str">
        <f t="shared" si="1"/>
        <v>Change in Investment Value</v>
      </c>
      <c r="H14" s="147">
        <v>6157.28</v>
      </c>
      <c r="I14" s="147"/>
      <c r="J14" s="148" t="s">
        <v>179</v>
      </c>
      <c r="K14" s="207"/>
    </row>
    <row r="15" spans="1:12" s="141" customFormat="1" ht="15.75" x14ac:dyDescent="0.25">
      <c r="B15" s="142" t="s">
        <v>20</v>
      </c>
      <c r="C15" s="143"/>
      <c r="D15" s="146">
        <v>1000</v>
      </c>
      <c r="E15" s="145" t="str">
        <f t="shared" si="0"/>
        <v>Fidelity Investments</v>
      </c>
      <c r="F15" s="146">
        <v>4000</v>
      </c>
      <c r="G15" s="145" t="str">
        <f t="shared" si="1"/>
        <v>Contributions (Principal Increase)</v>
      </c>
      <c r="H15" s="147">
        <v>25</v>
      </c>
      <c r="I15" s="147"/>
      <c r="J15" s="148" t="s">
        <v>177</v>
      </c>
      <c r="K15" s="207"/>
    </row>
    <row r="16" spans="1:12" s="141" customFormat="1" ht="15.75" x14ac:dyDescent="0.25">
      <c r="B16" s="142" t="s">
        <v>20</v>
      </c>
      <c r="C16" s="143"/>
      <c r="D16" s="146">
        <v>1000</v>
      </c>
      <c r="E16" s="145" t="str">
        <f t="shared" si="0"/>
        <v>Fidelity Investments</v>
      </c>
      <c r="F16" s="146">
        <v>4000</v>
      </c>
      <c r="G16" s="145" t="str">
        <f t="shared" si="1"/>
        <v>Contributions (Principal Increase)</v>
      </c>
      <c r="H16" s="147">
        <v>50</v>
      </c>
      <c r="I16" s="147"/>
      <c r="J16" s="148" t="s">
        <v>178</v>
      </c>
      <c r="K16" s="207"/>
    </row>
    <row r="17" spans="2:11" s="141" customFormat="1" ht="15.75" x14ac:dyDescent="0.25">
      <c r="B17" s="142" t="s">
        <v>20</v>
      </c>
      <c r="C17" s="143"/>
      <c r="D17" s="146">
        <v>1000</v>
      </c>
      <c r="E17" s="145" t="str">
        <f t="shared" si="0"/>
        <v>Fidelity Investments</v>
      </c>
      <c r="F17" s="146">
        <v>4020</v>
      </c>
      <c r="G17" s="145" t="str">
        <f t="shared" si="1"/>
        <v>Change in Investment Value</v>
      </c>
      <c r="H17" s="147">
        <v>2140.96</v>
      </c>
      <c r="I17" s="147"/>
      <c r="J17" s="148" t="s">
        <v>182</v>
      </c>
      <c r="K17" s="207"/>
    </row>
    <row r="18" spans="2:11" s="141" customFormat="1" ht="15.75" x14ac:dyDescent="0.25">
      <c r="B18" s="142" t="s">
        <v>21</v>
      </c>
      <c r="C18" s="143"/>
      <c r="D18" s="146">
        <v>1000</v>
      </c>
      <c r="E18" s="145" t="str">
        <f t="shared" si="0"/>
        <v>Fidelity Investments</v>
      </c>
      <c r="F18" s="146">
        <v>4020</v>
      </c>
      <c r="G18" s="145" t="str">
        <f t="shared" si="1"/>
        <v>Change in Investment Value</v>
      </c>
      <c r="H18" s="147">
        <v>3973.44</v>
      </c>
      <c r="I18" s="147"/>
      <c r="J18" s="148" t="s">
        <v>180</v>
      </c>
      <c r="K18" s="207"/>
    </row>
    <row r="19" spans="2:11" s="141" customFormat="1" ht="15.75" x14ac:dyDescent="0.25">
      <c r="B19" s="142" t="s">
        <v>22</v>
      </c>
      <c r="C19" s="143"/>
      <c r="D19" s="146">
        <v>1000</v>
      </c>
      <c r="E19" s="145" t="str">
        <f t="shared" si="0"/>
        <v>Fidelity Investments</v>
      </c>
      <c r="F19" s="146">
        <v>4020</v>
      </c>
      <c r="G19" s="145" t="str">
        <f t="shared" si="1"/>
        <v>Change in Investment Value</v>
      </c>
      <c r="H19" s="147">
        <v>3550.95</v>
      </c>
      <c r="I19" s="147"/>
      <c r="J19" s="148" t="s">
        <v>181</v>
      </c>
      <c r="K19" s="207"/>
    </row>
    <row r="20" spans="2:11" s="141" customFormat="1" ht="15.75" x14ac:dyDescent="0.25">
      <c r="B20" s="142" t="s">
        <v>23</v>
      </c>
      <c r="C20" s="143"/>
      <c r="D20" s="146">
        <v>1000</v>
      </c>
      <c r="E20" s="145" t="str">
        <f t="shared" si="0"/>
        <v>Fidelity Investments</v>
      </c>
      <c r="F20" s="146">
        <v>4020</v>
      </c>
      <c r="G20" s="145" t="str">
        <f t="shared" si="1"/>
        <v>Change in Investment Value</v>
      </c>
      <c r="H20" s="147">
        <v>3549.23</v>
      </c>
      <c r="I20" s="147"/>
      <c r="J20" s="148" t="s">
        <v>183</v>
      </c>
      <c r="K20" s="207"/>
    </row>
    <row r="21" spans="2:11" s="141" customFormat="1" ht="15.75" x14ac:dyDescent="0.25">
      <c r="B21" s="142" t="s">
        <v>24</v>
      </c>
      <c r="C21" s="143"/>
      <c r="D21" s="146">
        <v>1000</v>
      </c>
      <c r="E21" s="145" t="str">
        <f t="shared" si="0"/>
        <v>Fidelity Investments</v>
      </c>
      <c r="F21" s="146">
        <v>4020</v>
      </c>
      <c r="G21" s="145" t="str">
        <f t="shared" si="1"/>
        <v>Change in Investment Value</v>
      </c>
      <c r="H21" s="147">
        <v>-5044.04</v>
      </c>
      <c r="I21" s="147"/>
      <c r="J21" s="148" t="s">
        <v>184</v>
      </c>
      <c r="K21" s="207"/>
    </row>
    <row r="22" spans="2:11" s="141" customFormat="1" ht="15.75" x14ac:dyDescent="0.25">
      <c r="B22" s="142" t="s">
        <v>13</v>
      </c>
      <c r="C22" s="143"/>
      <c r="D22" s="146">
        <v>1000</v>
      </c>
      <c r="E22" s="145" t="str">
        <f t="shared" si="0"/>
        <v>Fidelity Investments</v>
      </c>
      <c r="F22" s="146">
        <v>4020</v>
      </c>
      <c r="G22" s="145" t="str">
        <f t="shared" si="1"/>
        <v>Change in Investment Value</v>
      </c>
      <c r="H22" s="147">
        <v>4391.8</v>
      </c>
      <c r="I22" s="147"/>
      <c r="J22" s="148" t="s">
        <v>185</v>
      </c>
      <c r="K22" s="207"/>
    </row>
    <row r="23" spans="2:11" s="141" customFormat="1" ht="15.75" x14ac:dyDescent="0.25">
      <c r="B23" s="142" t="s">
        <v>25</v>
      </c>
      <c r="C23" s="143"/>
      <c r="D23" s="146">
        <v>1000</v>
      </c>
      <c r="E23" s="145" t="str">
        <f t="shared" si="0"/>
        <v>Fidelity Investments</v>
      </c>
      <c r="F23" s="146">
        <v>4020</v>
      </c>
      <c r="G23" s="145" t="str">
        <f t="shared" si="1"/>
        <v>Change in Investment Value</v>
      </c>
      <c r="H23" s="147">
        <v>-5434.46</v>
      </c>
      <c r="I23" s="147"/>
      <c r="J23" s="148" t="s">
        <v>186</v>
      </c>
      <c r="K23" s="207"/>
    </row>
    <row r="24" spans="2:11" s="141" customFormat="1" ht="15.75" x14ac:dyDescent="0.25">
      <c r="B24" s="142"/>
      <c r="C24" s="143"/>
      <c r="D24" s="146"/>
      <c r="E24" s="145" t="str">
        <f t="shared" si="0"/>
        <v/>
      </c>
      <c r="F24" s="146"/>
      <c r="G24" s="145" t="str">
        <f t="shared" si="1"/>
        <v/>
      </c>
      <c r="H24" s="147"/>
      <c r="I24" s="147"/>
      <c r="J24" s="148"/>
      <c r="K24" s="207"/>
    </row>
    <row r="25" spans="2:11" s="141" customFormat="1" ht="15.75" x14ac:dyDescent="0.25">
      <c r="B25" s="142"/>
      <c r="C25" s="143"/>
      <c r="D25" s="146"/>
      <c r="E25" s="145" t="str">
        <f t="shared" si="0"/>
        <v/>
      </c>
      <c r="F25" s="146"/>
      <c r="G25" s="145" t="str">
        <f t="shared" si="1"/>
        <v/>
      </c>
      <c r="H25" s="147"/>
      <c r="I25" s="147"/>
      <c r="J25" s="148"/>
      <c r="K25" s="207"/>
    </row>
    <row r="26" spans="2:11" s="141" customFormat="1" ht="15.75" x14ac:dyDescent="0.25">
      <c r="B26" s="142"/>
      <c r="C26" s="143"/>
      <c r="D26" s="146"/>
      <c r="E26" s="145" t="str">
        <f t="shared" si="0"/>
        <v/>
      </c>
      <c r="F26" s="146"/>
      <c r="G26" s="145" t="str">
        <f t="shared" si="1"/>
        <v/>
      </c>
      <c r="H26" s="147"/>
      <c r="I26" s="147"/>
      <c r="J26" s="148"/>
      <c r="K26" s="207"/>
    </row>
    <row r="27" spans="2:11" s="141" customFormat="1" ht="15.75" x14ac:dyDescent="0.25">
      <c r="B27" s="142"/>
      <c r="C27" s="143"/>
      <c r="D27" s="146"/>
      <c r="E27" s="145" t="str">
        <f t="shared" si="0"/>
        <v/>
      </c>
      <c r="F27" s="146"/>
      <c r="G27" s="145" t="str">
        <f t="shared" si="1"/>
        <v/>
      </c>
      <c r="H27" s="147"/>
      <c r="I27" s="147"/>
      <c r="J27" s="148"/>
      <c r="K27" s="207"/>
    </row>
    <row r="28" spans="2:11" s="141" customFormat="1" ht="15.75" x14ac:dyDescent="0.25">
      <c r="B28" s="142"/>
      <c r="C28" s="143"/>
      <c r="D28" s="146"/>
      <c r="E28" s="145" t="str">
        <f t="shared" si="0"/>
        <v/>
      </c>
      <c r="F28" s="146"/>
      <c r="G28" s="145" t="str">
        <f t="shared" si="1"/>
        <v/>
      </c>
      <c r="H28" s="147"/>
      <c r="I28" s="147"/>
      <c r="J28" s="148"/>
      <c r="K28" s="207"/>
    </row>
    <row r="29" spans="2:11" s="141" customFormat="1" ht="15.75" x14ac:dyDescent="0.25">
      <c r="B29" s="142"/>
      <c r="C29" s="143"/>
      <c r="D29" s="146"/>
      <c r="E29" s="145" t="str">
        <f t="shared" si="0"/>
        <v/>
      </c>
      <c r="F29" s="146"/>
      <c r="G29" s="145" t="str">
        <f t="shared" si="1"/>
        <v/>
      </c>
      <c r="H29" s="147"/>
      <c r="I29" s="147"/>
      <c r="J29" s="148"/>
      <c r="K29" s="207"/>
    </row>
    <row r="30" spans="2:11" s="141" customFormat="1" ht="15.75" x14ac:dyDescent="0.25">
      <c r="B30" s="142"/>
      <c r="C30" s="143"/>
      <c r="D30" s="146"/>
      <c r="E30" s="145" t="str">
        <f t="shared" si="0"/>
        <v/>
      </c>
      <c r="F30" s="146"/>
      <c r="G30" s="145" t="str">
        <f t="shared" si="1"/>
        <v/>
      </c>
      <c r="H30" s="147"/>
      <c r="I30" s="147"/>
      <c r="J30" s="148"/>
      <c r="K30" s="207"/>
    </row>
    <row r="31" spans="2:11" s="141" customFormat="1" ht="15.75" x14ac:dyDescent="0.25">
      <c r="B31" s="142"/>
      <c r="C31" s="143"/>
      <c r="D31" s="146"/>
      <c r="E31" s="145" t="str">
        <f t="shared" si="0"/>
        <v/>
      </c>
      <c r="F31" s="146"/>
      <c r="G31" s="145" t="str">
        <f t="shared" si="1"/>
        <v/>
      </c>
      <c r="H31" s="147"/>
      <c r="I31" s="147"/>
      <c r="J31" s="148"/>
      <c r="K31" s="207"/>
    </row>
    <row r="32" spans="2:11" s="141" customFormat="1" ht="15.75" x14ac:dyDescent="0.25">
      <c r="B32" s="142"/>
      <c r="C32" s="143"/>
      <c r="D32" s="146"/>
      <c r="E32" s="145" t="str">
        <f t="shared" si="0"/>
        <v/>
      </c>
      <c r="F32" s="146"/>
      <c r="G32" s="145" t="str">
        <f t="shared" si="1"/>
        <v/>
      </c>
      <c r="H32" s="147"/>
      <c r="I32" s="147"/>
      <c r="J32" s="148"/>
      <c r="K32" s="207"/>
    </row>
    <row r="33" spans="2:11" s="141" customFormat="1" ht="15.75" x14ac:dyDescent="0.25">
      <c r="B33" s="142"/>
      <c r="C33" s="143"/>
      <c r="D33" s="146"/>
      <c r="E33" s="145" t="str">
        <f t="shared" si="0"/>
        <v/>
      </c>
      <c r="F33" s="146"/>
      <c r="G33" s="145" t="str">
        <f t="shared" si="1"/>
        <v/>
      </c>
      <c r="H33" s="147"/>
      <c r="I33" s="147"/>
      <c r="J33" s="148"/>
      <c r="K33" s="207"/>
    </row>
    <row r="34" spans="2:11" s="141" customFormat="1" ht="15.75" x14ac:dyDescent="0.25">
      <c r="B34" s="142"/>
      <c r="C34" s="143"/>
      <c r="D34" s="146"/>
      <c r="E34" s="145" t="str">
        <f t="shared" si="0"/>
        <v/>
      </c>
      <c r="F34" s="146"/>
      <c r="G34" s="145" t="str">
        <f t="shared" si="1"/>
        <v/>
      </c>
      <c r="H34" s="147"/>
      <c r="I34" s="147"/>
      <c r="J34" s="148"/>
      <c r="K34" s="207"/>
    </row>
    <row r="35" spans="2:11" ht="6.6" customHeight="1" x14ac:dyDescent="0.25">
      <c r="B35" s="45"/>
      <c r="C35" s="47"/>
      <c r="D35" s="47"/>
      <c r="E35" s="47"/>
      <c r="F35" s="48"/>
      <c r="G35" s="49"/>
      <c r="H35" s="50"/>
      <c r="I35" s="50"/>
      <c r="J35" s="69"/>
      <c r="K35" s="208"/>
    </row>
    <row r="36" spans="2:11" ht="15.75" x14ac:dyDescent="0.25">
      <c r="B36" s="4"/>
      <c r="C36" s="4"/>
      <c r="D36" s="4"/>
      <c r="E36" s="4"/>
      <c r="F36" s="4"/>
      <c r="G36" s="4"/>
      <c r="H36" s="11">
        <f>SUBTOTAL(9,H8:H35)</f>
        <v>15676.089999999997</v>
      </c>
      <c r="I36" s="11">
        <f>SUBTOTAL(9,I8:I35)</f>
        <v>0</v>
      </c>
      <c r="J36" s="70"/>
      <c r="K36" s="4"/>
    </row>
    <row r="38" spans="2:11" x14ac:dyDescent="0.25">
      <c r="H38"/>
    </row>
    <row r="39" spans="2:11" x14ac:dyDescent="0.25">
      <c r="H39"/>
    </row>
    <row r="40" spans="2:11" x14ac:dyDescent="0.25">
      <c r="H40"/>
    </row>
    <row r="52" spans="9:9" x14ac:dyDescent="0.25">
      <c r="I52" s="10"/>
    </row>
  </sheetData>
  <autoFilter ref="B7:J34"/>
  <sortState ref="B7:J30">
    <sortCondition ref="B7:B30" customList="January,February,March,April,May,June,July,August,September,October,November,December"/>
    <sortCondition ref="F7:F30"/>
  </sortState>
  <mergeCells count="12">
    <mergeCell ref="K6:K7"/>
    <mergeCell ref="A3:J3"/>
    <mergeCell ref="A2:J2"/>
    <mergeCell ref="B4:J4"/>
    <mergeCell ref="B5:J5"/>
    <mergeCell ref="H6:I6"/>
    <mergeCell ref="C6:C7"/>
    <mergeCell ref="D6:D7"/>
    <mergeCell ref="F6:F7"/>
    <mergeCell ref="G6:G7"/>
    <mergeCell ref="E6:E7"/>
    <mergeCell ref="B6:B7"/>
  </mergeCells>
  <dataValidations count="2">
    <dataValidation type="list" allowBlank="1" showInputMessage="1" showErrorMessage="1" sqref="F35">
      <formula1>AcctNumber</formula1>
    </dataValidation>
    <dataValidation type="list" allowBlank="1" showInputMessage="1" showErrorMessage="1" sqref="B35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'Chart of Accounts'!$B$11:$B$20</xm:f>
          </x14:formula1>
          <xm:sqref>F8:F34</xm:sqref>
        </x14:dataValidation>
        <x14:dataValidation type="list" allowBlank="1" showInputMessage="1" showErrorMessage="1">
          <x14:formula1>
            <xm:f>'Chart of Accounts'!$G$11:$G$22</xm:f>
          </x14:formula1>
          <xm:sqref>B8:B34</xm:sqref>
        </x14:dataValidation>
        <x14:dataValidation type="list" allowBlank="1" showInputMessage="1" showErrorMessage="1">
          <x14:formula1>
            <xm:f>'Chart of Accounts'!$B$4:$B$7</xm:f>
          </x14:formula1>
          <xm:sqref>D8:D34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O160"/>
  <sheetViews>
    <sheetView showGridLines="0" topLeftCell="A2" workbookViewId="0">
      <selection activeCell="E9" sqref="E9"/>
    </sheetView>
  </sheetViews>
  <sheetFormatPr defaultColWidth="8.7109375" defaultRowHeight="15" x14ac:dyDescent="0.25"/>
  <cols>
    <col min="1" max="1" width="27.5703125" style="2" bestFit="1" customWidth="1"/>
    <col min="2" max="2" width="6.28515625" style="87" customWidth="1"/>
    <col min="3" max="3" width="17.140625" style="1" bestFit="1" customWidth="1"/>
    <col min="4" max="4" width="14.5703125" style="1" customWidth="1"/>
    <col min="5" max="5" width="18.42578125" style="1" customWidth="1"/>
    <col min="6" max="7" width="12.7109375" style="1" customWidth="1"/>
    <col min="8" max="8" width="16.5703125" style="1" customWidth="1"/>
    <col min="9" max="9" width="2.140625" style="1" customWidth="1"/>
    <col min="10" max="10" width="16.28515625" style="1" customWidth="1"/>
    <col min="11" max="11" width="13.85546875" style="1" customWidth="1"/>
    <col min="12" max="12" width="16.5703125" style="1" customWidth="1"/>
    <col min="13" max="13" width="13.28515625" style="1" bestFit="1" customWidth="1"/>
    <col min="14" max="14" width="14.42578125" style="1" bestFit="1" customWidth="1"/>
    <col min="15" max="15" width="10.140625" style="1" bestFit="1" customWidth="1"/>
    <col min="16" max="16384" width="8.7109375" style="1"/>
  </cols>
  <sheetData>
    <row r="1" spans="1:15" ht="5.0999999999999996" customHeight="1" x14ac:dyDescent="0.25">
      <c r="A1" s="87"/>
    </row>
    <row r="2" spans="1:15" s="18" customFormat="1" ht="20.25" x14ac:dyDescent="0.25">
      <c r="A2" s="219" t="s">
        <v>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5" s="18" customFormat="1" ht="20.25" x14ac:dyDescent="0.25">
      <c r="A3" s="219" t="s">
        <v>71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5" s="87" customFormat="1" ht="23.25" x14ac:dyDescent="0.25">
      <c r="A4" s="225" t="str">
        <f>+'Top Level'!B3&amp;" Bank Accounts and Reconciliation"</f>
        <v>2024 Bank Accounts and Reconciliation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5" ht="16.5" thickBot="1" x14ac:dyDescent="0.3">
      <c r="A5" s="192"/>
      <c r="B5" s="192"/>
      <c r="C5" s="192"/>
      <c r="D5" s="193"/>
      <c r="E5" s="195"/>
      <c r="G5" s="194"/>
      <c r="H5" s="195"/>
      <c r="I5" s="17"/>
      <c r="J5" s="23"/>
      <c r="K5" s="17"/>
    </row>
    <row r="6" spans="1:15" ht="16.5" thickBot="1" x14ac:dyDescent="0.3">
      <c r="A6" s="111" t="s">
        <v>11</v>
      </c>
      <c r="B6" s="112"/>
      <c r="C6" s="113">
        <v>1000</v>
      </c>
      <c r="D6" s="197" t="s">
        <v>137</v>
      </c>
      <c r="E6" s="196">
        <f ca="1">1-($E$9/$E$22)</f>
        <v>7.6396561180301581E-2</v>
      </c>
      <c r="F6" s="113">
        <v>1020</v>
      </c>
      <c r="G6" s="197" t="s">
        <v>137</v>
      </c>
      <c r="H6" s="196">
        <f ca="1">1-($H$9/$H$22)</f>
        <v>0</v>
      </c>
      <c r="I6" s="17"/>
      <c r="J6" s="115">
        <v>4000</v>
      </c>
      <c r="K6" s="114">
        <v>5050</v>
      </c>
    </row>
    <row r="7" spans="1:15" ht="16.5" thickBot="1" x14ac:dyDescent="0.3">
      <c r="C7" s="237" t="str">
        <f>VLOOKUP(C$6,Chart,2)</f>
        <v>Fidelity Investments</v>
      </c>
      <c r="D7" s="238"/>
      <c r="E7" s="239"/>
      <c r="F7" s="237" t="str">
        <f>VLOOKUP(F$6,Chart,2)</f>
        <v>Racine Community Foundation</v>
      </c>
      <c r="G7" s="231"/>
      <c r="H7" s="232"/>
      <c r="I7" s="61"/>
      <c r="J7" s="230" t="s">
        <v>72</v>
      </c>
      <c r="K7" s="231"/>
      <c r="L7" s="232"/>
    </row>
    <row r="8" spans="1:15" ht="15.75" x14ac:dyDescent="0.25">
      <c r="A8" s="12" t="s">
        <v>1</v>
      </c>
      <c r="B8" s="102"/>
      <c r="C8" s="235" t="s">
        <v>8</v>
      </c>
      <c r="D8" s="233" t="s">
        <v>6</v>
      </c>
      <c r="E8" s="5" t="s">
        <v>3</v>
      </c>
      <c r="F8" s="235" t="s">
        <v>8</v>
      </c>
      <c r="G8" s="233" t="s">
        <v>6</v>
      </c>
      <c r="H8" s="5" t="s">
        <v>3</v>
      </c>
      <c r="I8" s="240"/>
      <c r="J8" s="244" t="str">
        <f>LEFT(VLOOKUP(J6,Accounts,2),13)</f>
        <v>Contributions</v>
      </c>
      <c r="K8" s="233" t="str">
        <f>LEFT(VLOOKUP(K6,Accounts,2),10)</f>
        <v>Reductions</v>
      </c>
      <c r="L8" s="5" t="s">
        <v>3</v>
      </c>
    </row>
    <row r="9" spans="1:15" ht="14.45" customHeight="1" x14ac:dyDescent="0.25">
      <c r="A9" s="100" t="s">
        <v>4</v>
      </c>
      <c r="B9" s="104">
        <v>0</v>
      </c>
      <c r="C9" s="236"/>
      <c r="D9" s="234"/>
      <c r="E9" s="6">
        <v>189517.57</v>
      </c>
      <c r="F9" s="236"/>
      <c r="G9" s="234"/>
      <c r="H9" s="6">
        <v>28937.54</v>
      </c>
      <c r="I9" s="240"/>
      <c r="J9" s="245"/>
      <c r="K9" s="234"/>
      <c r="L9" s="6">
        <v>135277.65</v>
      </c>
      <c r="N9" s="16"/>
      <c r="O9" s="16"/>
    </row>
    <row r="10" spans="1:15" x14ac:dyDescent="0.25">
      <c r="A10" s="13" t="str">
        <f>VLOOKUP(1,LKQtr,2)</f>
        <v>January</v>
      </c>
      <c r="B10" s="103">
        <v>1</v>
      </c>
      <c r="C10" s="53">
        <f t="shared" ref="C10:C21" si="0">SUMIFS(SumRevenue,SumMonth,$A10,SumBank,C$6)</f>
        <v>77.400000000000006</v>
      </c>
      <c r="D10" s="134">
        <f t="shared" ref="D10" si="1">SUMIFS(SumExp,SumMonth,$A10,SumBank,C$6)</f>
        <v>0</v>
      </c>
      <c r="E10" s="136">
        <f t="shared" ref="E10:E20" si="2">IF(+E9+C10-D10=E9,0,+E9+C10-D10)</f>
        <v>189594.97</v>
      </c>
      <c r="F10" s="53">
        <f t="shared" ref="F10:F21" si="3">SUMIFS(SumRevenue,SumMonth,$A10,SumBank,F$6)</f>
        <v>0</v>
      </c>
      <c r="G10" s="134">
        <f t="shared" ref="G10:G21" si="4">SUMIFS(SumExp,SumMonth,$A10,SumBank,F$6)</f>
        <v>0</v>
      </c>
      <c r="H10" s="136">
        <f t="shared" ref="H10:H21" si="5">IF(C10&lt;&gt;0,(+H9+F10-G10),0)</f>
        <v>28937.54</v>
      </c>
      <c r="I10" s="94"/>
      <c r="J10" s="53">
        <f t="shared" ref="J10:J21" si="6">SUMIFS(SumRevenue,SumMonth,$A10,SumAccount,J$6)</f>
        <v>50</v>
      </c>
      <c r="K10" s="134">
        <f t="shared" ref="K10:K21" si="7">SUMIFS(SumExp,SumMonth,$A10,SumAccount,K$6)</f>
        <v>0</v>
      </c>
      <c r="L10" s="135">
        <f t="shared" ref="L10:L21" si="8">IF(E10&lt;&gt;0,+L9+J10-K10,0)</f>
        <v>135327.65</v>
      </c>
    </row>
    <row r="11" spans="1:15" x14ac:dyDescent="0.25">
      <c r="A11" s="13" t="str">
        <f>VLOOKUP(1,LKQtr,3)</f>
        <v>February</v>
      </c>
      <c r="B11" s="103">
        <v>2</v>
      </c>
      <c r="C11" s="53">
        <f t="shared" si="0"/>
        <v>3719.6</v>
      </c>
      <c r="D11" s="134">
        <f t="shared" ref="D11:D21" si="9">SUMIFS(SumExp,SumMonth,$A11,SumBank,C$6)</f>
        <v>0</v>
      </c>
      <c r="E11" s="136">
        <f t="shared" si="2"/>
        <v>193314.57</v>
      </c>
      <c r="F11" s="53">
        <f t="shared" si="3"/>
        <v>0</v>
      </c>
      <c r="G11" s="134">
        <f t="shared" si="4"/>
        <v>0</v>
      </c>
      <c r="H11" s="136">
        <f t="shared" si="5"/>
        <v>28937.54</v>
      </c>
      <c r="I11" s="94"/>
      <c r="J11" s="53">
        <f t="shared" si="6"/>
        <v>200</v>
      </c>
      <c r="K11" s="134">
        <f t="shared" si="7"/>
        <v>0</v>
      </c>
      <c r="L11" s="135">
        <f t="shared" si="8"/>
        <v>135527.65</v>
      </c>
    </row>
    <row r="12" spans="1:15" x14ac:dyDescent="0.25">
      <c r="A12" s="13" t="str">
        <f>VLOOKUP(1,LKQtr,4)</f>
        <v>March</v>
      </c>
      <c r="B12" s="103">
        <v>3</v>
      </c>
      <c r="C12" s="53">
        <f t="shared" si="0"/>
        <v>4640.07</v>
      </c>
      <c r="D12" s="134">
        <f t="shared" si="9"/>
        <v>0</v>
      </c>
      <c r="E12" s="136">
        <f t="shared" si="2"/>
        <v>197954.64</v>
      </c>
      <c r="F12" s="53">
        <f t="shared" si="3"/>
        <v>0</v>
      </c>
      <c r="G12" s="134">
        <f t="shared" si="4"/>
        <v>0</v>
      </c>
      <c r="H12" s="136">
        <f t="shared" si="5"/>
        <v>28937.54</v>
      </c>
      <c r="I12" s="94"/>
      <c r="J12" s="53">
        <f t="shared" si="6"/>
        <v>0</v>
      </c>
      <c r="K12" s="134">
        <f t="shared" si="7"/>
        <v>0</v>
      </c>
      <c r="L12" s="135">
        <f t="shared" si="8"/>
        <v>135527.65</v>
      </c>
    </row>
    <row r="13" spans="1:15" x14ac:dyDescent="0.25">
      <c r="A13" s="13" t="str">
        <f>VLOOKUP(2,LKQtr,2)</f>
        <v>April</v>
      </c>
      <c r="B13" s="103">
        <v>4</v>
      </c>
      <c r="C13" s="53">
        <f t="shared" si="0"/>
        <v>-6121.14</v>
      </c>
      <c r="D13" s="134">
        <f t="shared" si="9"/>
        <v>0</v>
      </c>
      <c r="E13" s="136">
        <f t="shared" si="2"/>
        <v>191833.5</v>
      </c>
      <c r="F13" s="53">
        <f t="shared" si="3"/>
        <v>0</v>
      </c>
      <c r="G13" s="134">
        <f t="shared" si="4"/>
        <v>0</v>
      </c>
      <c r="H13" s="136">
        <f t="shared" si="5"/>
        <v>28937.54</v>
      </c>
      <c r="I13" s="94"/>
      <c r="J13" s="53">
        <f t="shared" si="6"/>
        <v>0</v>
      </c>
      <c r="K13" s="134">
        <f t="shared" si="7"/>
        <v>0</v>
      </c>
      <c r="L13" s="135">
        <f t="shared" si="8"/>
        <v>135527.65</v>
      </c>
    </row>
    <row r="14" spans="1:15" x14ac:dyDescent="0.25">
      <c r="A14" s="13" t="str">
        <f>VLOOKUP(2,LKQtr,3)</f>
        <v>May</v>
      </c>
      <c r="B14" s="103">
        <v>5</v>
      </c>
      <c r="C14" s="53">
        <f t="shared" si="0"/>
        <v>6157.28</v>
      </c>
      <c r="D14" s="134">
        <f t="shared" si="9"/>
        <v>0</v>
      </c>
      <c r="E14" s="136">
        <f t="shared" si="2"/>
        <v>197990.78</v>
      </c>
      <c r="F14" s="53">
        <f t="shared" si="3"/>
        <v>0</v>
      </c>
      <c r="G14" s="134">
        <f t="shared" si="4"/>
        <v>0</v>
      </c>
      <c r="H14" s="136">
        <f t="shared" si="5"/>
        <v>28937.54</v>
      </c>
      <c r="I14" s="94"/>
      <c r="J14" s="53">
        <f t="shared" si="6"/>
        <v>0</v>
      </c>
      <c r="K14" s="134">
        <f t="shared" si="7"/>
        <v>0</v>
      </c>
      <c r="L14" s="135">
        <f t="shared" si="8"/>
        <v>135527.65</v>
      </c>
    </row>
    <row r="15" spans="1:15" x14ac:dyDescent="0.25">
      <c r="A15" s="13" t="str">
        <f>VLOOKUP(2,LKQtr,4)</f>
        <v>June</v>
      </c>
      <c r="B15" s="103">
        <v>6</v>
      </c>
      <c r="C15" s="53">
        <f t="shared" si="0"/>
        <v>2215.96</v>
      </c>
      <c r="D15" s="134">
        <f t="shared" si="9"/>
        <v>0</v>
      </c>
      <c r="E15" s="136">
        <f t="shared" si="2"/>
        <v>200206.74</v>
      </c>
      <c r="F15" s="53">
        <f t="shared" si="3"/>
        <v>0</v>
      </c>
      <c r="G15" s="134">
        <f t="shared" si="4"/>
        <v>0</v>
      </c>
      <c r="H15" s="136">
        <f t="shared" si="5"/>
        <v>28937.54</v>
      </c>
      <c r="I15" s="94"/>
      <c r="J15" s="53">
        <f t="shared" si="6"/>
        <v>75</v>
      </c>
      <c r="K15" s="134">
        <f t="shared" si="7"/>
        <v>0</v>
      </c>
      <c r="L15" s="135">
        <f t="shared" si="8"/>
        <v>135602.65</v>
      </c>
    </row>
    <row r="16" spans="1:15" x14ac:dyDescent="0.25">
      <c r="A16" s="13" t="str">
        <f>VLOOKUP(3,LKQtr,2)</f>
        <v>July</v>
      </c>
      <c r="B16" s="103">
        <v>7</v>
      </c>
      <c r="C16" s="53">
        <f t="shared" si="0"/>
        <v>3973.44</v>
      </c>
      <c r="D16" s="134">
        <f t="shared" si="9"/>
        <v>0</v>
      </c>
      <c r="E16" s="136">
        <f t="shared" si="2"/>
        <v>204180.18</v>
      </c>
      <c r="F16" s="53">
        <f t="shared" si="3"/>
        <v>0</v>
      </c>
      <c r="G16" s="134">
        <f t="shared" si="4"/>
        <v>0</v>
      </c>
      <c r="H16" s="136">
        <f t="shared" si="5"/>
        <v>28937.54</v>
      </c>
      <c r="I16" s="94"/>
      <c r="J16" s="53">
        <f t="shared" si="6"/>
        <v>0</v>
      </c>
      <c r="K16" s="134">
        <f t="shared" si="7"/>
        <v>0</v>
      </c>
      <c r="L16" s="135">
        <f t="shared" si="8"/>
        <v>135602.65</v>
      </c>
      <c r="N16" s="119"/>
    </row>
    <row r="17" spans="1:13" x14ac:dyDescent="0.25">
      <c r="A17" s="13" t="str">
        <f>VLOOKUP(3,LKQtr,3)</f>
        <v>August</v>
      </c>
      <c r="B17" s="103">
        <v>8</v>
      </c>
      <c r="C17" s="53">
        <f t="shared" si="0"/>
        <v>3550.95</v>
      </c>
      <c r="D17" s="134">
        <f t="shared" si="9"/>
        <v>0</v>
      </c>
      <c r="E17" s="136">
        <f t="shared" si="2"/>
        <v>207731.13</v>
      </c>
      <c r="F17" s="53">
        <f t="shared" si="3"/>
        <v>0</v>
      </c>
      <c r="G17" s="134">
        <f t="shared" si="4"/>
        <v>0</v>
      </c>
      <c r="H17" s="136">
        <f t="shared" si="5"/>
        <v>28937.54</v>
      </c>
      <c r="I17" s="94"/>
      <c r="J17" s="53">
        <f t="shared" si="6"/>
        <v>0</v>
      </c>
      <c r="K17" s="134">
        <f t="shared" si="7"/>
        <v>0</v>
      </c>
      <c r="L17" s="135">
        <f t="shared" si="8"/>
        <v>135602.65</v>
      </c>
    </row>
    <row r="18" spans="1:13" x14ac:dyDescent="0.25">
      <c r="A18" s="13" t="str">
        <f>VLOOKUP(3,LKQtr,4)</f>
        <v>September</v>
      </c>
      <c r="B18" s="103">
        <v>9</v>
      </c>
      <c r="C18" s="53">
        <f t="shared" si="0"/>
        <v>3549.23</v>
      </c>
      <c r="D18" s="134">
        <f t="shared" si="9"/>
        <v>0</v>
      </c>
      <c r="E18" s="136">
        <f t="shared" si="2"/>
        <v>211280.36000000002</v>
      </c>
      <c r="F18" s="53">
        <f t="shared" si="3"/>
        <v>0</v>
      </c>
      <c r="G18" s="134">
        <f t="shared" si="4"/>
        <v>0</v>
      </c>
      <c r="H18" s="136">
        <f t="shared" si="5"/>
        <v>28937.54</v>
      </c>
      <c r="I18" s="94"/>
      <c r="J18" s="53">
        <f t="shared" si="6"/>
        <v>0</v>
      </c>
      <c r="K18" s="134">
        <f t="shared" si="7"/>
        <v>0</v>
      </c>
      <c r="L18" s="135">
        <f t="shared" si="8"/>
        <v>135602.65</v>
      </c>
    </row>
    <row r="19" spans="1:13" x14ac:dyDescent="0.25">
      <c r="A19" s="13" t="str">
        <f>VLOOKUP(4,LKQtr,2)</f>
        <v>October</v>
      </c>
      <c r="B19" s="103">
        <v>10</v>
      </c>
      <c r="C19" s="53">
        <f t="shared" si="0"/>
        <v>-5044.04</v>
      </c>
      <c r="D19" s="134">
        <f t="shared" si="9"/>
        <v>0</v>
      </c>
      <c r="E19" s="136">
        <f t="shared" si="2"/>
        <v>206236.32</v>
      </c>
      <c r="F19" s="53">
        <f t="shared" si="3"/>
        <v>0</v>
      </c>
      <c r="G19" s="134">
        <f t="shared" si="4"/>
        <v>0</v>
      </c>
      <c r="H19" s="136">
        <f t="shared" si="5"/>
        <v>28937.54</v>
      </c>
      <c r="I19" s="94"/>
      <c r="J19" s="53">
        <f t="shared" si="6"/>
        <v>0</v>
      </c>
      <c r="K19" s="134">
        <f t="shared" si="7"/>
        <v>0</v>
      </c>
      <c r="L19" s="135">
        <f t="shared" si="8"/>
        <v>135602.65</v>
      </c>
    </row>
    <row r="20" spans="1:13" x14ac:dyDescent="0.25">
      <c r="A20" s="13" t="str">
        <f>VLOOKUP(4,LKQtr,3)</f>
        <v>November</v>
      </c>
      <c r="B20" s="103">
        <v>11</v>
      </c>
      <c r="C20" s="53">
        <f t="shared" si="0"/>
        <v>4391.8</v>
      </c>
      <c r="D20" s="134">
        <f t="shared" si="9"/>
        <v>0</v>
      </c>
      <c r="E20" s="136">
        <f t="shared" si="2"/>
        <v>210628.12</v>
      </c>
      <c r="F20" s="53">
        <f t="shared" si="3"/>
        <v>0</v>
      </c>
      <c r="G20" s="134">
        <f t="shared" si="4"/>
        <v>0</v>
      </c>
      <c r="H20" s="136">
        <f t="shared" si="5"/>
        <v>28937.54</v>
      </c>
      <c r="I20" s="94"/>
      <c r="J20" s="53">
        <f t="shared" si="6"/>
        <v>0</v>
      </c>
      <c r="K20" s="134">
        <f t="shared" si="7"/>
        <v>0</v>
      </c>
      <c r="L20" s="135">
        <f t="shared" si="8"/>
        <v>135602.65</v>
      </c>
    </row>
    <row r="21" spans="1:13" x14ac:dyDescent="0.25">
      <c r="A21" s="13" t="str">
        <f>VLOOKUP(4,LKQtr,4)</f>
        <v>December</v>
      </c>
      <c r="B21" s="103">
        <v>12</v>
      </c>
      <c r="C21" s="53">
        <f t="shared" si="0"/>
        <v>-5434.46</v>
      </c>
      <c r="D21" s="134">
        <f t="shared" si="9"/>
        <v>0</v>
      </c>
      <c r="E21" s="136">
        <f>IF(+E20+C21-D21=E20,0,+E20+C21-D21)</f>
        <v>205193.66</v>
      </c>
      <c r="F21" s="53">
        <f t="shared" si="3"/>
        <v>0</v>
      </c>
      <c r="G21" s="134">
        <f t="shared" si="4"/>
        <v>0</v>
      </c>
      <c r="H21" s="136">
        <f t="shared" si="5"/>
        <v>28937.54</v>
      </c>
      <c r="I21" s="94"/>
      <c r="J21" s="53">
        <f t="shared" si="6"/>
        <v>0</v>
      </c>
      <c r="K21" s="134">
        <f t="shared" si="7"/>
        <v>0</v>
      </c>
      <c r="L21" s="135">
        <f t="shared" si="8"/>
        <v>135602.65</v>
      </c>
    </row>
    <row r="22" spans="1:13" ht="16.5" thickBot="1" x14ac:dyDescent="0.3">
      <c r="A22" s="14" t="s">
        <v>9</v>
      </c>
      <c r="B22" s="14"/>
      <c r="C22" s="7">
        <f>SUM(C10:C21)</f>
        <v>15676.089999999997</v>
      </c>
      <c r="D22" s="8">
        <f>SUM(D10:D21)</f>
        <v>0</v>
      </c>
      <c r="E22" s="9">
        <f ca="1">IF(ISNA(INDIRECT("E"&amp;(MATCH(0,E$10:E$21,0)+8))),E$21,INDIRECT("E"&amp;(MATCH(0,E$10:E$21,0)+8)))</f>
        <v>205193.66</v>
      </c>
      <c r="F22" s="7">
        <f>SUM(F10:F21)</f>
        <v>0</v>
      </c>
      <c r="G22" s="8">
        <f>SUM(G10:G21)</f>
        <v>0</v>
      </c>
      <c r="H22" s="9">
        <f ca="1">IF(ISNA(INDIRECT("H"&amp;(MATCH(0,H$10:H$21,0)+8))),H$21,INDIRECT("H"&amp;(MATCH(0,H$10:H$21,0)+8)))</f>
        <v>28937.54</v>
      </c>
      <c r="I22" s="95"/>
      <c r="J22" s="7">
        <f>SUM(J10:J21)</f>
        <v>325</v>
      </c>
      <c r="K22" s="8">
        <f>SUM(K10:K21)</f>
        <v>0</v>
      </c>
      <c r="L22" s="9">
        <f>MAX(L9:L21)</f>
        <v>135602.65</v>
      </c>
    </row>
    <row r="23" spans="1:13" ht="15.75" thickBot="1" x14ac:dyDescent="0.3">
      <c r="E23" s="3"/>
      <c r="H23" s="3"/>
      <c r="I23" s="17"/>
      <c r="L23" s="3"/>
    </row>
    <row r="24" spans="1:13" ht="16.5" thickBot="1" x14ac:dyDescent="0.3">
      <c r="A24" s="241" t="s">
        <v>83</v>
      </c>
      <c r="C24" s="124"/>
      <c r="D24" s="125" t="s">
        <v>84</v>
      </c>
      <c r="E24" s="211">
        <v>205193.66</v>
      </c>
      <c r="F24" s="210"/>
      <c r="G24" s="125" t="s">
        <v>84</v>
      </c>
      <c r="H24" s="211">
        <v>28937.54</v>
      </c>
      <c r="I24" s="17"/>
      <c r="K24" s="18"/>
      <c r="L24" s="96"/>
      <c r="M24" s="16"/>
    </row>
    <row r="25" spans="1:13" x14ac:dyDescent="0.25">
      <c r="A25" s="242"/>
      <c r="C25" s="126"/>
      <c r="D25" s="140" t="s">
        <v>85</v>
      </c>
      <c r="E25" s="127">
        <f ca="1">ROUND(E24-E22,2)</f>
        <v>0</v>
      </c>
      <c r="F25" s="126"/>
      <c r="G25" s="140" t="s">
        <v>85</v>
      </c>
      <c r="H25" s="127">
        <f ca="1">ROUND(H24-H22,2)</f>
        <v>0</v>
      </c>
      <c r="I25" s="17"/>
      <c r="K25" s="18"/>
      <c r="L25" s="23"/>
    </row>
    <row r="26" spans="1:13" ht="15.75" x14ac:dyDescent="0.25">
      <c r="A26" s="242"/>
      <c r="C26" s="128" t="s">
        <v>81</v>
      </c>
      <c r="D26" s="18"/>
      <c r="E26" s="129"/>
      <c r="F26" s="126"/>
      <c r="G26" s="18"/>
      <c r="H26" s="129"/>
      <c r="I26" s="17"/>
      <c r="J26" s="191"/>
      <c r="K26" s="17"/>
      <c r="L26" s="18"/>
    </row>
    <row r="27" spans="1:13" x14ac:dyDescent="0.25">
      <c r="A27" s="242"/>
      <c r="C27" s="126" t="str">
        <f>+$D$24</f>
        <v xml:space="preserve">Curr Stmt.  </v>
      </c>
      <c r="D27" s="18"/>
      <c r="E27" s="127">
        <f>+E24</f>
        <v>205193.66</v>
      </c>
      <c r="F27" s="126" t="str">
        <f>+$D$24</f>
        <v xml:space="preserve">Curr Stmt.  </v>
      </c>
      <c r="G27" s="18"/>
      <c r="H27" s="127">
        <f>+H24</f>
        <v>28937.54</v>
      </c>
      <c r="K27" s="3"/>
    </row>
    <row r="28" spans="1:13" x14ac:dyDescent="0.25">
      <c r="A28" s="242"/>
      <c r="C28" s="228" t="s">
        <v>80</v>
      </c>
      <c r="D28" s="229"/>
      <c r="E28" s="129">
        <v>0</v>
      </c>
      <c r="F28" s="228" t="s">
        <v>80</v>
      </c>
      <c r="G28" s="229"/>
      <c r="H28" s="129">
        <v>0</v>
      </c>
      <c r="K28" s="3"/>
    </row>
    <row r="29" spans="1:13" ht="15.75" x14ac:dyDescent="0.25">
      <c r="A29" s="242"/>
      <c r="C29" s="126"/>
      <c r="D29" s="139"/>
      <c r="E29" s="131"/>
      <c r="F29" s="126"/>
      <c r="G29" s="130"/>
      <c r="H29" s="131"/>
      <c r="I29" s="42"/>
      <c r="J29" s="42"/>
      <c r="K29" s="3"/>
    </row>
    <row r="30" spans="1:13" x14ac:dyDescent="0.25">
      <c r="A30" s="242"/>
      <c r="C30" s="126"/>
      <c r="D30" s="130"/>
      <c r="E30" s="131"/>
      <c r="F30" s="126"/>
      <c r="G30" s="130"/>
      <c r="H30" s="131"/>
      <c r="K30" s="3"/>
    </row>
    <row r="31" spans="1:13" x14ac:dyDescent="0.25">
      <c r="A31" s="242"/>
      <c r="C31" s="126" t="s">
        <v>82</v>
      </c>
      <c r="D31" s="18"/>
      <c r="E31" s="132">
        <f>+E27-SUM(E29:E30)</f>
        <v>205193.66</v>
      </c>
      <c r="F31" s="126" t="s">
        <v>82</v>
      </c>
      <c r="G31" s="18"/>
      <c r="H31" s="132">
        <f>+H27-SUM(H29:H30)</f>
        <v>28937.54</v>
      </c>
      <c r="K31" s="3"/>
    </row>
    <row r="32" spans="1:13" x14ac:dyDescent="0.25">
      <c r="A32" s="243"/>
      <c r="C32" s="133" t="s">
        <v>38</v>
      </c>
      <c r="D32" s="108"/>
      <c r="E32" s="138" t="str">
        <f ca="1">IF(ROUND(E22-E31,2)=0,"OK","Check it")</f>
        <v>OK</v>
      </c>
      <c r="F32" s="133" t="s">
        <v>38</v>
      </c>
      <c r="G32" s="108"/>
      <c r="H32" s="138" t="str">
        <f ca="1">IF(ROUND(H22-H31,2)=0,"OK","Check it")</f>
        <v>OK</v>
      </c>
      <c r="K32" s="3"/>
    </row>
    <row r="33" spans="1:11" x14ac:dyDescent="0.25">
      <c r="E33" s="3"/>
      <c r="H33" s="3"/>
      <c r="K33" s="3"/>
    </row>
    <row r="34" spans="1:11" x14ac:dyDescent="0.25">
      <c r="E34" s="3"/>
      <c r="H34" s="3"/>
      <c r="K34" s="3"/>
    </row>
    <row r="35" spans="1:11" x14ac:dyDescent="0.25">
      <c r="E35" s="137"/>
      <c r="H35" s="3"/>
      <c r="K35" s="3"/>
    </row>
    <row r="36" spans="1:11" x14ac:dyDescent="0.25">
      <c r="A36" s="154" t="s">
        <v>115</v>
      </c>
      <c r="E36" s="3"/>
      <c r="H36" s="3"/>
      <c r="K36" s="3"/>
    </row>
    <row r="41" spans="1:11" x14ac:dyDescent="0.25">
      <c r="E41" s="3"/>
      <c r="H41" s="3"/>
      <c r="K41" s="3"/>
    </row>
    <row r="42" spans="1:11" x14ac:dyDescent="0.25">
      <c r="E42" s="3"/>
      <c r="H42" s="3"/>
      <c r="K42" s="3"/>
    </row>
    <row r="44" spans="1:11" x14ac:dyDescent="0.25">
      <c r="E44" s="3"/>
      <c r="H44" s="3"/>
      <c r="K44" s="3"/>
    </row>
    <row r="49" spans="5:11" x14ac:dyDescent="0.25">
      <c r="E49" s="3"/>
      <c r="H49" s="3"/>
      <c r="K49" s="3"/>
    </row>
    <row r="56" spans="5:11" x14ac:dyDescent="0.25">
      <c r="E56"/>
    </row>
    <row r="57" spans="5:11" x14ac:dyDescent="0.25">
      <c r="E57"/>
      <c r="H57" s="3"/>
      <c r="K57" s="3"/>
    </row>
    <row r="58" spans="5:11" x14ac:dyDescent="0.25">
      <c r="E58"/>
    </row>
    <row r="59" spans="5:11" x14ac:dyDescent="0.25">
      <c r="E59"/>
      <c r="H59" s="3"/>
      <c r="K59" s="3"/>
    </row>
    <row r="60" spans="5:11" x14ac:dyDescent="0.25">
      <c r="E60"/>
      <c r="H60" s="3"/>
      <c r="K60" s="3"/>
    </row>
    <row r="61" spans="5:11" x14ac:dyDescent="0.25">
      <c r="E61"/>
      <c r="H61" s="3"/>
      <c r="K61" s="3"/>
    </row>
    <row r="62" spans="5:11" x14ac:dyDescent="0.25">
      <c r="E62"/>
      <c r="H62" s="3"/>
      <c r="K62" s="3"/>
    </row>
    <row r="63" spans="5:11" x14ac:dyDescent="0.25">
      <c r="E63" s="3"/>
      <c r="H63" s="3"/>
      <c r="K63" s="3"/>
    </row>
    <row r="64" spans="5:11" x14ac:dyDescent="0.25">
      <c r="E64" s="3"/>
      <c r="H64" s="3"/>
      <c r="K64" s="3"/>
    </row>
    <row r="65" spans="5:11" x14ac:dyDescent="0.25">
      <c r="E65" s="3"/>
      <c r="H65" s="3"/>
      <c r="K65" s="3"/>
    </row>
    <row r="66" spans="5:11" x14ac:dyDescent="0.25">
      <c r="E66" s="3"/>
      <c r="H66" s="3"/>
      <c r="K66" s="3"/>
    </row>
    <row r="67" spans="5:11" x14ac:dyDescent="0.25">
      <c r="E67" s="3"/>
      <c r="H67" s="3"/>
      <c r="K67" s="3"/>
    </row>
    <row r="68" spans="5:11" x14ac:dyDescent="0.25">
      <c r="E68" s="3"/>
      <c r="H68" s="3"/>
      <c r="K68" s="3"/>
    </row>
    <row r="69" spans="5:11" x14ac:dyDescent="0.25">
      <c r="E69" s="3"/>
      <c r="H69" s="3"/>
      <c r="K69" s="3"/>
    </row>
    <row r="70" spans="5:11" x14ac:dyDescent="0.25">
      <c r="E70" s="3"/>
      <c r="H70" s="3"/>
      <c r="K70" s="3"/>
    </row>
    <row r="71" spans="5:11" x14ac:dyDescent="0.25">
      <c r="E71" s="3"/>
      <c r="H71" s="3"/>
      <c r="K71" s="3"/>
    </row>
    <row r="72" spans="5:11" x14ac:dyDescent="0.25">
      <c r="E72" s="3"/>
      <c r="H72" s="3"/>
      <c r="K72" s="3"/>
    </row>
    <row r="73" spans="5:11" x14ac:dyDescent="0.25">
      <c r="E73" s="3"/>
      <c r="H73" s="3"/>
      <c r="K73" s="3"/>
    </row>
    <row r="74" spans="5:11" x14ac:dyDescent="0.25">
      <c r="E74" s="3"/>
      <c r="H74" s="3"/>
      <c r="K74" s="3"/>
    </row>
    <row r="75" spans="5:11" x14ac:dyDescent="0.25">
      <c r="E75" s="3"/>
      <c r="H75" s="3"/>
      <c r="K75" s="3"/>
    </row>
    <row r="79" spans="5:11" x14ac:dyDescent="0.25">
      <c r="E79" s="3"/>
      <c r="H79" s="3"/>
      <c r="K79" s="3"/>
    </row>
    <row r="81" spans="5:11" x14ac:dyDescent="0.25">
      <c r="E81" s="3"/>
      <c r="H81" s="3"/>
      <c r="K81" s="3"/>
    </row>
    <row r="85" spans="5:11" x14ac:dyDescent="0.25">
      <c r="E85" s="3"/>
      <c r="H85" s="3"/>
      <c r="K85" s="3"/>
    </row>
    <row r="93" spans="5:11" x14ac:dyDescent="0.25">
      <c r="E93" s="3"/>
      <c r="H93" s="3"/>
      <c r="K93" s="3"/>
    </row>
    <row r="94" spans="5:11" x14ac:dyDescent="0.25">
      <c r="E94" s="3"/>
      <c r="H94" s="3"/>
      <c r="K94" s="3"/>
    </row>
    <row r="97" spans="5:11" x14ac:dyDescent="0.25">
      <c r="E97" s="3"/>
      <c r="H97" s="3"/>
      <c r="K97" s="3"/>
    </row>
    <row r="103" spans="5:11" x14ac:dyDescent="0.25">
      <c r="E103" s="3"/>
      <c r="H103" s="3"/>
      <c r="K103" s="3"/>
    </row>
    <row r="104" spans="5:11" x14ac:dyDescent="0.25">
      <c r="E104" s="3"/>
      <c r="H104" s="3"/>
      <c r="K104" s="3"/>
    </row>
    <row r="105" spans="5:11" x14ac:dyDescent="0.25">
      <c r="E105" s="3"/>
      <c r="H105" s="3"/>
      <c r="K105" s="3"/>
    </row>
    <row r="119" spans="5:11" x14ac:dyDescent="0.25">
      <c r="E119" s="3"/>
      <c r="H119" s="3"/>
      <c r="K119" s="3"/>
    </row>
    <row r="134" spans="5:11" x14ac:dyDescent="0.25">
      <c r="E134" s="3"/>
      <c r="H134" s="3"/>
      <c r="K134" s="3"/>
    </row>
    <row r="160" spans="5:11" x14ac:dyDescent="0.25">
      <c r="E160" s="3"/>
      <c r="H160" s="3"/>
      <c r="K160" s="3"/>
    </row>
  </sheetData>
  <mergeCells count="16">
    <mergeCell ref="A3:L3"/>
    <mergeCell ref="A2:L2"/>
    <mergeCell ref="A4:L4"/>
    <mergeCell ref="F28:G28"/>
    <mergeCell ref="C28:D28"/>
    <mergeCell ref="J7:L7"/>
    <mergeCell ref="K8:K9"/>
    <mergeCell ref="F8:F9"/>
    <mergeCell ref="G8:G9"/>
    <mergeCell ref="C8:C9"/>
    <mergeCell ref="D8:D9"/>
    <mergeCell ref="C7:E7"/>
    <mergeCell ref="I8:I9"/>
    <mergeCell ref="A24:A32"/>
    <mergeCell ref="J8:J9"/>
    <mergeCell ref="F7:H7"/>
  </mergeCells>
  <conditionalFormatting sqref="E32">
    <cfRule type="expression" dxfId="7" priority="9">
      <formula>E32&lt;&gt;"OK"</formula>
    </cfRule>
    <cfRule type="expression" dxfId="6" priority="10">
      <formula>E32="OK"</formula>
    </cfRule>
  </conditionalFormatting>
  <conditionalFormatting sqref="H32">
    <cfRule type="expression" dxfId="5" priority="1">
      <formula>H32&lt;&gt;"OK"</formula>
    </cfRule>
    <cfRule type="expression" dxfId="4" priority="2">
      <formula>H32="OK"</formula>
    </cfRule>
  </conditionalFormatting>
  <pageMargins left="0.7" right="0.7" top="0.75" bottom="0.75" header="0.3" footer="0.3"/>
  <pageSetup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O178"/>
  <sheetViews>
    <sheetView showGridLines="0" zoomScaleNormal="100" workbookViewId="0"/>
  </sheetViews>
  <sheetFormatPr defaultColWidth="8.7109375" defaultRowHeight="15" x14ac:dyDescent="0.2"/>
  <cols>
    <col min="1" max="1" width="12.140625" style="36" customWidth="1"/>
    <col min="2" max="2" width="13" style="36" customWidth="1"/>
    <col min="3" max="3" width="31.28515625" style="36" customWidth="1"/>
    <col min="4" max="4" width="8.7109375" style="36"/>
    <col min="5" max="5" width="13.5703125" style="36" customWidth="1"/>
    <col min="6" max="6" width="14.28515625" style="36" bestFit="1" customWidth="1"/>
    <col min="7" max="7" width="16.28515625" style="36" customWidth="1"/>
    <col min="8" max="8" width="19" style="36" customWidth="1"/>
    <col min="9" max="9" width="13.28515625" style="36" customWidth="1"/>
    <col min="10" max="10" width="17.5703125" style="36" bestFit="1" customWidth="1"/>
    <col min="11" max="11" width="3.42578125" style="36" bestFit="1" customWidth="1"/>
    <col min="12" max="12" width="47.140625" style="36" customWidth="1"/>
    <col min="13" max="14" width="14.28515625" style="36" bestFit="1" customWidth="1"/>
    <col min="15" max="15" width="12.85546875" style="36" bestFit="1" customWidth="1"/>
    <col min="16" max="16384" width="8.7109375" style="36"/>
  </cols>
  <sheetData>
    <row r="1" spans="1:15" ht="23.25" x14ac:dyDescent="0.35">
      <c r="B1" s="246" t="s">
        <v>10</v>
      </c>
      <c r="C1" s="246"/>
      <c r="D1" s="246"/>
      <c r="E1" s="246"/>
    </row>
    <row r="2" spans="1:15" ht="15.6" customHeight="1" x14ac:dyDescent="0.35">
      <c r="A2" s="38"/>
      <c r="B2" s="39"/>
    </row>
    <row r="3" spans="1:15" ht="15.6" customHeight="1" x14ac:dyDescent="0.3">
      <c r="A3" s="37"/>
      <c r="B3" s="37"/>
      <c r="C3" s="41" t="s">
        <v>26</v>
      </c>
      <c r="F3" s="247" t="s">
        <v>67</v>
      </c>
      <c r="G3" s="247"/>
      <c r="H3" s="37"/>
      <c r="I3" s="37"/>
      <c r="J3" s="37"/>
      <c r="K3" s="37"/>
    </row>
    <row r="4" spans="1:15" ht="15.6" customHeight="1" x14ac:dyDescent="0.25">
      <c r="A4" s="37"/>
      <c r="B4" s="36" t="s">
        <v>126</v>
      </c>
      <c r="C4" s="46" t="s">
        <v>57</v>
      </c>
      <c r="F4" s="99">
        <v>1</v>
      </c>
      <c r="G4" s="36" t="str">
        <f>VLOOKUP(1,LKMonth,2)</f>
        <v>January</v>
      </c>
      <c r="H4" s="36" t="str">
        <f>VLOOKUP(2,LKMonth,2)</f>
        <v>February</v>
      </c>
      <c r="I4" s="36" t="str">
        <f>VLOOKUP(3,LKMonth,2)</f>
        <v>March</v>
      </c>
      <c r="J4" s="36" t="s">
        <v>63</v>
      </c>
      <c r="L4" s="162" t="str">
        <f>TEXT(PrudentPct,"0.0%")&amp;" of Rolling "&amp;QtrsAvg&amp;" qtrs Avg Total Assets"</f>
        <v>4.0% of Rolling 20 qtrs Avg Total Assets</v>
      </c>
      <c r="M4" s="37" t="s">
        <v>117</v>
      </c>
    </row>
    <row r="5" spans="1:15" ht="15.6" customHeight="1" x14ac:dyDescent="0.25">
      <c r="A5" s="37"/>
      <c r="B5" s="36">
        <v>1000</v>
      </c>
      <c r="C5" s="46" t="s">
        <v>52</v>
      </c>
      <c r="F5" s="99">
        <v>2</v>
      </c>
      <c r="G5" s="36" t="str">
        <f>VLOOKUP(4,LKMonth,2)</f>
        <v>April</v>
      </c>
      <c r="H5" s="36" t="str">
        <f>VLOOKUP(5,LKMonth,2)</f>
        <v>May</v>
      </c>
      <c r="I5" s="36" t="str">
        <f>VLOOKUP(6,LKMonth,2)</f>
        <v>June</v>
      </c>
      <c r="J5" s="36" t="s">
        <v>64</v>
      </c>
      <c r="L5" s="159" t="str">
        <f>("J"&amp;MATCH(0,QtrTop:$J$50,0)-1+ROW(QtrTop)-QtrsAvg&amp;":J"&amp;MATCH(0,QtrTop:$J$50,0)-2+ROW(QtrTop))</f>
        <v>J15:J34</v>
      </c>
      <c r="M5" s="37" t="s">
        <v>118</v>
      </c>
    </row>
    <row r="6" spans="1:15" ht="15.6" customHeight="1" x14ac:dyDescent="0.25">
      <c r="A6" s="37"/>
      <c r="B6" s="36">
        <v>1010</v>
      </c>
      <c r="C6" s="46" t="s">
        <v>0</v>
      </c>
      <c r="F6" s="99">
        <v>3</v>
      </c>
      <c r="G6" s="36" t="str">
        <f>VLOOKUP(7,LKMonth,2)</f>
        <v>July</v>
      </c>
      <c r="H6" s="36" t="str">
        <f>VLOOKUP(8,LKMonth,2)</f>
        <v>August</v>
      </c>
      <c r="I6" s="36" t="str">
        <f>VLOOKUP(9,LKMonth,2)</f>
        <v>September</v>
      </c>
      <c r="J6" s="36" t="s">
        <v>65</v>
      </c>
      <c r="L6" s="152">
        <f ca="1">AVERAGE(INDIRECT(QtrAvgRange))</f>
        <v>200428.4755</v>
      </c>
      <c r="M6" s="37" t="s">
        <v>120</v>
      </c>
    </row>
    <row r="7" spans="1:15" ht="15.6" customHeight="1" x14ac:dyDescent="0.25">
      <c r="A7" s="37"/>
      <c r="B7" s="36">
        <v>1020</v>
      </c>
      <c r="C7" s="46" t="s">
        <v>53</v>
      </c>
      <c r="F7" s="99">
        <v>4</v>
      </c>
      <c r="G7" s="36" t="str">
        <f>VLOOKUP(10,LKMonth,2)</f>
        <v>October</v>
      </c>
      <c r="H7" s="36" t="str">
        <f>VLOOKUP(11,LKMonth,2)</f>
        <v>November</v>
      </c>
      <c r="I7" s="36" t="str">
        <f>VLOOKUP(12,LKMonth,2)</f>
        <v>December</v>
      </c>
      <c r="J7" s="36" t="s">
        <v>66</v>
      </c>
      <c r="L7" s="160">
        <f ca="1">QtrSumAvg*PrudentPct</f>
        <v>8017.1390200000005</v>
      </c>
      <c r="M7" s="161" t="s">
        <v>119</v>
      </c>
    </row>
    <row r="8" spans="1:15" ht="15.6" customHeight="1" x14ac:dyDescent="0.25">
      <c r="A8" s="37"/>
      <c r="C8" s="46"/>
    </row>
    <row r="9" spans="1:15" ht="21" customHeight="1" x14ac:dyDescent="0.3">
      <c r="A9" s="37"/>
      <c r="B9" s="37"/>
      <c r="C9" s="41"/>
      <c r="I9" s="41" t="s">
        <v>105</v>
      </c>
      <c r="J9" s="41"/>
    </row>
    <row r="10" spans="1:15" ht="15.6" customHeight="1" x14ac:dyDescent="0.3">
      <c r="A10" s="37"/>
      <c r="B10" s="37"/>
      <c r="C10" s="41" t="s">
        <v>27</v>
      </c>
      <c r="F10" s="247" t="s">
        <v>68</v>
      </c>
      <c r="G10" s="247"/>
      <c r="I10" s="37" t="s">
        <v>78</v>
      </c>
      <c r="J10" s="151" t="s">
        <v>3</v>
      </c>
    </row>
    <row r="11" spans="1:15" ht="15.6" customHeight="1" x14ac:dyDescent="0.25">
      <c r="A11" s="37"/>
      <c r="B11" s="37" t="s">
        <v>127</v>
      </c>
      <c r="C11" s="90" t="s">
        <v>54</v>
      </c>
      <c r="F11" s="99">
        <v>1</v>
      </c>
      <c r="G11" s="101" t="s">
        <v>15</v>
      </c>
      <c r="H11" s="99">
        <v>1</v>
      </c>
      <c r="I11" s="36" t="s">
        <v>86</v>
      </c>
      <c r="J11" s="150">
        <v>177740.97</v>
      </c>
      <c r="L11" s="152"/>
    </row>
    <row r="12" spans="1:15" ht="15.6" customHeight="1" x14ac:dyDescent="0.25">
      <c r="A12" s="37"/>
      <c r="B12" s="36">
        <v>4000</v>
      </c>
      <c r="C12" s="34" t="s">
        <v>73</v>
      </c>
      <c r="F12" s="99">
        <v>2</v>
      </c>
      <c r="G12" s="101" t="s">
        <v>16</v>
      </c>
      <c r="H12" s="99">
        <v>2</v>
      </c>
      <c r="I12" s="36" t="s">
        <v>87</v>
      </c>
      <c r="J12" s="150">
        <v>182433.69</v>
      </c>
      <c r="L12" s="152"/>
    </row>
    <row r="13" spans="1:15" ht="15.6" customHeight="1" x14ac:dyDescent="0.25">
      <c r="A13" s="37"/>
      <c r="B13" s="36">
        <v>4010</v>
      </c>
      <c r="C13" s="34" t="s">
        <v>55</v>
      </c>
      <c r="F13" s="99">
        <v>3</v>
      </c>
      <c r="G13" s="101" t="s">
        <v>17</v>
      </c>
      <c r="H13" s="99">
        <v>3</v>
      </c>
      <c r="I13" s="36" t="s">
        <v>88</v>
      </c>
      <c r="J13" s="150">
        <v>183069.98</v>
      </c>
      <c r="K13" s="149"/>
      <c r="L13" s="152"/>
      <c r="M13" s="152"/>
      <c r="N13" s="152"/>
      <c r="O13" s="152"/>
    </row>
    <row r="14" spans="1:15" ht="15.6" customHeight="1" x14ac:dyDescent="0.25">
      <c r="A14" s="37"/>
      <c r="B14" s="36">
        <v>4020</v>
      </c>
      <c r="C14" s="34" t="s">
        <v>79</v>
      </c>
      <c r="F14" s="99">
        <v>4</v>
      </c>
      <c r="G14" s="101" t="s">
        <v>18</v>
      </c>
      <c r="H14" s="99">
        <v>4</v>
      </c>
      <c r="I14" s="36" t="s">
        <v>89</v>
      </c>
      <c r="J14" s="150">
        <v>184915.23</v>
      </c>
      <c r="L14" s="152"/>
      <c r="M14" s="152"/>
      <c r="N14" s="152"/>
      <c r="O14" s="152"/>
    </row>
    <row r="15" spans="1:15" ht="15.6" customHeight="1" x14ac:dyDescent="0.25">
      <c r="A15" s="37"/>
      <c r="F15" s="99">
        <v>5</v>
      </c>
      <c r="G15" s="101" t="s">
        <v>19</v>
      </c>
      <c r="H15" s="99">
        <v>5</v>
      </c>
      <c r="I15" s="36" t="s">
        <v>90</v>
      </c>
      <c r="J15" s="150">
        <v>163093.63</v>
      </c>
      <c r="L15" s="152"/>
      <c r="M15" s="152"/>
      <c r="N15" s="152"/>
      <c r="O15" s="152"/>
    </row>
    <row r="16" spans="1:15" ht="15.6" customHeight="1" x14ac:dyDescent="0.25">
      <c r="A16" s="37"/>
      <c r="C16" s="90" t="s">
        <v>61</v>
      </c>
      <c r="F16" s="99">
        <v>6</v>
      </c>
      <c r="G16" s="101" t="s">
        <v>20</v>
      </c>
      <c r="H16" s="99">
        <v>6</v>
      </c>
      <c r="I16" s="36" t="s">
        <v>91</v>
      </c>
      <c r="J16" s="150">
        <v>179703.69</v>
      </c>
      <c r="L16" s="152"/>
      <c r="M16" s="152"/>
      <c r="N16" s="152"/>
      <c r="O16" s="152"/>
    </row>
    <row r="17" spans="1:15" ht="15.6" customHeight="1" x14ac:dyDescent="0.25">
      <c r="A17" s="37"/>
      <c r="B17" s="36">
        <v>5000</v>
      </c>
      <c r="C17" s="35" t="s">
        <v>39</v>
      </c>
      <c r="F17" s="99">
        <v>7</v>
      </c>
      <c r="G17" s="101" t="s">
        <v>21</v>
      </c>
      <c r="H17" s="99">
        <v>7</v>
      </c>
      <c r="I17" s="36" t="s">
        <v>92</v>
      </c>
      <c r="J17" s="150">
        <v>188412.99</v>
      </c>
      <c r="L17" s="152"/>
      <c r="M17" s="152"/>
      <c r="N17" s="152"/>
      <c r="O17" s="152"/>
    </row>
    <row r="18" spans="1:15" ht="15.6" customHeight="1" x14ac:dyDescent="0.25">
      <c r="A18" s="37"/>
      <c r="B18" s="36">
        <v>5010</v>
      </c>
      <c r="C18" s="35" t="s">
        <v>56</v>
      </c>
      <c r="F18" s="99">
        <v>8</v>
      </c>
      <c r="G18" s="101" t="s">
        <v>22</v>
      </c>
      <c r="H18" s="99">
        <v>8</v>
      </c>
      <c r="I18" s="36" t="s">
        <v>93</v>
      </c>
      <c r="J18" s="150">
        <v>200809.60000000001</v>
      </c>
      <c r="L18" s="152"/>
    </row>
    <row r="19" spans="1:15" ht="15.6" customHeight="1" x14ac:dyDescent="0.25">
      <c r="A19" s="37"/>
      <c r="B19" s="36">
        <v>5020</v>
      </c>
      <c r="C19" s="35" t="s">
        <v>58</v>
      </c>
      <c r="F19" s="99">
        <v>9</v>
      </c>
      <c r="G19" s="101" t="s">
        <v>23</v>
      </c>
      <c r="H19" s="99">
        <v>9</v>
      </c>
      <c r="I19" s="36" t="s">
        <v>94</v>
      </c>
      <c r="J19" s="150">
        <v>205468.52000000002</v>
      </c>
      <c r="L19" s="151"/>
    </row>
    <row r="20" spans="1:15" ht="15.6" customHeight="1" x14ac:dyDescent="0.25">
      <c r="A20" s="37"/>
      <c r="B20" s="36">
        <v>5050</v>
      </c>
      <c r="C20" s="35" t="s">
        <v>74</v>
      </c>
      <c r="F20" s="99">
        <v>10</v>
      </c>
      <c r="G20" s="101" t="s">
        <v>24</v>
      </c>
      <c r="H20" s="99">
        <v>10</v>
      </c>
      <c r="I20" s="36" t="s">
        <v>95</v>
      </c>
      <c r="J20" s="150">
        <v>217990.57</v>
      </c>
      <c r="L20" s="152"/>
    </row>
    <row r="21" spans="1:15" ht="15.6" customHeight="1" x14ac:dyDescent="0.25">
      <c r="A21" s="37"/>
      <c r="C21" s="35"/>
      <c r="F21" s="99">
        <v>11</v>
      </c>
      <c r="G21" s="101" t="s">
        <v>13</v>
      </c>
      <c r="H21" s="99">
        <v>11</v>
      </c>
      <c r="I21" s="36" t="s">
        <v>96</v>
      </c>
      <c r="J21" s="150">
        <v>216627.08000000002</v>
      </c>
      <c r="L21" s="151"/>
    </row>
    <row r="22" spans="1:15" ht="15.6" customHeight="1" x14ac:dyDescent="0.25">
      <c r="A22" s="37"/>
      <c r="C22" s="35"/>
      <c r="F22" s="99">
        <v>12</v>
      </c>
      <c r="G22" s="101" t="s">
        <v>25</v>
      </c>
      <c r="H22" s="99">
        <v>12</v>
      </c>
      <c r="I22" s="36" t="s">
        <v>97</v>
      </c>
      <c r="J22" s="150">
        <v>221969.08000000002</v>
      </c>
      <c r="L22" s="152"/>
    </row>
    <row r="23" spans="1:15" ht="15.6" customHeight="1" x14ac:dyDescent="0.25">
      <c r="A23" s="37"/>
      <c r="B23"/>
      <c r="C23"/>
      <c r="D23"/>
      <c r="E23"/>
      <c r="I23" s="36" t="s">
        <v>98</v>
      </c>
      <c r="J23" s="150">
        <v>207491.06</v>
      </c>
      <c r="L23"/>
    </row>
    <row r="24" spans="1:15" ht="15.6" customHeight="1" x14ac:dyDescent="0.25">
      <c r="A24" s="37"/>
      <c r="B24"/>
      <c r="C24"/>
      <c r="D24"/>
      <c r="E24"/>
      <c r="F24"/>
      <c r="G24"/>
      <c r="I24" s="36" t="s">
        <v>99</v>
      </c>
      <c r="J24" s="150">
        <v>189728.96999999997</v>
      </c>
      <c r="L24" s="151"/>
    </row>
    <row r="25" spans="1:15" ht="15.6" customHeight="1" x14ac:dyDescent="0.25">
      <c r="B25"/>
      <c r="C25"/>
      <c r="D25"/>
      <c r="E25"/>
      <c r="F25"/>
      <c r="G25"/>
      <c r="I25" s="36" t="s">
        <v>100</v>
      </c>
      <c r="J25" s="150">
        <v>179934.77999999997</v>
      </c>
      <c r="L25" s="152"/>
    </row>
    <row r="26" spans="1:15" ht="15.6" customHeight="1" x14ac:dyDescent="0.25">
      <c r="B26"/>
      <c r="C26"/>
      <c r="D26"/>
      <c r="E26"/>
      <c r="F26"/>
      <c r="G26"/>
      <c r="I26" s="36" t="s">
        <v>101</v>
      </c>
      <c r="J26" s="150">
        <v>164514.10999999999</v>
      </c>
      <c r="L26" s="151"/>
    </row>
    <row r="27" spans="1:15" ht="15.6" customHeight="1" x14ac:dyDescent="0.25">
      <c r="F27"/>
      <c r="I27" s="36" t="s">
        <v>102</v>
      </c>
      <c r="J27" s="150">
        <v>202734.89</v>
      </c>
      <c r="L27" s="152"/>
    </row>
    <row r="28" spans="1:15" ht="15.6" customHeight="1" x14ac:dyDescent="0.25">
      <c r="C28" s="35"/>
      <c r="I28" s="36" t="s">
        <v>103</v>
      </c>
      <c r="J28" s="150">
        <v>207291.81</v>
      </c>
      <c r="L28" s="151"/>
    </row>
    <row r="29" spans="1:15" ht="15.6" customHeight="1" x14ac:dyDescent="0.25">
      <c r="B29" s="37"/>
      <c r="C29" s="15"/>
      <c r="I29" s="36" t="s">
        <v>104</v>
      </c>
      <c r="J29" s="150">
        <v>200770.68</v>
      </c>
      <c r="L29" s="152"/>
    </row>
    <row r="30" spans="1:15" ht="15.6" customHeight="1" x14ac:dyDescent="0.2">
      <c r="C30" s="35"/>
      <c r="F30" s="152"/>
      <c r="I30" s="36" t="s">
        <v>106</v>
      </c>
      <c r="J30" s="150">
        <v>218455.11000000002</v>
      </c>
      <c r="L30" s="152"/>
    </row>
    <row r="31" spans="1:15" ht="15.6" customHeight="1" x14ac:dyDescent="0.25">
      <c r="C31" s="35"/>
      <c r="F31" s="152"/>
      <c r="G31" s="152"/>
      <c r="H31" s="152"/>
      <c r="I31" s="36" t="s">
        <v>107</v>
      </c>
      <c r="J31" s="150">
        <v>197954.64</v>
      </c>
      <c r="L31"/>
    </row>
    <row r="32" spans="1:15" ht="15.6" customHeight="1" x14ac:dyDescent="0.25">
      <c r="B32" s="37"/>
      <c r="C32" s="15"/>
      <c r="I32" s="36" t="s">
        <v>108</v>
      </c>
      <c r="J32" s="150">
        <v>200206.74</v>
      </c>
      <c r="L32"/>
    </row>
    <row r="33" spans="3:12" ht="15.6" customHeight="1" x14ac:dyDescent="0.25">
      <c r="C33" s="35"/>
      <c r="I33" s="36" t="s">
        <v>109</v>
      </c>
      <c r="J33" s="150">
        <v>211280.36</v>
      </c>
      <c r="L33"/>
    </row>
    <row r="34" spans="3:12" ht="15.6" customHeight="1" x14ac:dyDescent="0.25">
      <c r="C34" s="35"/>
      <c r="I34" s="36" t="s">
        <v>110</v>
      </c>
      <c r="J34" s="150">
        <v>234131.20000000001</v>
      </c>
      <c r="L34"/>
    </row>
    <row r="35" spans="3:12" ht="15.6" customHeight="1" x14ac:dyDescent="0.25">
      <c r="C35" s="35"/>
      <c r="I35" s="36" t="s">
        <v>111</v>
      </c>
      <c r="J35" s="150">
        <v>0</v>
      </c>
      <c r="L35"/>
    </row>
    <row r="36" spans="3:12" ht="15.6" customHeight="1" x14ac:dyDescent="0.25">
      <c r="C36" s="35"/>
      <c r="I36" s="36" t="s">
        <v>112</v>
      </c>
      <c r="J36" s="150">
        <v>0</v>
      </c>
      <c r="L36"/>
    </row>
    <row r="37" spans="3:12" ht="15.6" customHeight="1" x14ac:dyDescent="0.25">
      <c r="C37" s="35"/>
      <c r="F37" s="152"/>
      <c r="I37" s="36" t="s">
        <v>113</v>
      </c>
      <c r="J37" s="150">
        <v>0</v>
      </c>
      <c r="L37"/>
    </row>
    <row r="38" spans="3:12" ht="15.6" customHeight="1" x14ac:dyDescent="0.25">
      <c r="C38" s="152"/>
      <c r="I38" s="36" t="s">
        <v>114</v>
      </c>
      <c r="J38" s="150">
        <v>0</v>
      </c>
      <c r="L38"/>
    </row>
    <row r="39" spans="3:12" ht="15.6" customHeight="1" x14ac:dyDescent="0.25">
      <c r="C39" s="35"/>
      <c r="F39" s="40"/>
      <c r="I39" s="36" t="s">
        <v>153</v>
      </c>
      <c r="J39" s="150">
        <v>0</v>
      </c>
      <c r="L39"/>
    </row>
    <row r="40" spans="3:12" ht="15.6" customHeight="1" x14ac:dyDescent="0.25">
      <c r="C40" s="35"/>
      <c r="I40" s="36" t="s">
        <v>154</v>
      </c>
      <c r="J40" s="150">
        <v>0</v>
      </c>
      <c r="L40"/>
    </row>
    <row r="41" spans="3:12" ht="15.6" customHeight="1" x14ac:dyDescent="0.25">
      <c r="C41" s="35"/>
      <c r="I41" s="36" t="s">
        <v>155</v>
      </c>
      <c r="J41" s="150">
        <v>0</v>
      </c>
      <c r="L41"/>
    </row>
    <row r="42" spans="3:12" ht="15.6" customHeight="1" x14ac:dyDescent="0.25">
      <c r="C42" s="35"/>
      <c r="I42" s="36" t="s">
        <v>156</v>
      </c>
      <c r="J42" s="150">
        <v>0</v>
      </c>
      <c r="L42"/>
    </row>
    <row r="43" spans="3:12" ht="15.6" customHeight="1" x14ac:dyDescent="0.25">
      <c r="C43" s="35"/>
      <c r="I43" s="36" t="s">
        <v>157</v>
      </c>
      <c r="J43" s="150">
        <v>0</v>
      </c>
      <c r="L43"/>
    </row>
    <row r="44" spans="3:12" ht="15.6" customHeight="1" x14ac:dyDescent="0.25">
      <c r="C44" s="35"/>
      <c r="I44" s="36" t="s">
        <v>158</v>
      </c>
      <c r="J44" s="150">
        <v>0</v>
      </c>
      <c r="L44"/>
    </row>
    <row r="45" spans="3:12" ht="15.6" customHeight="1" x14ac:dyDescent="0.25">
      <c r="C45" s="35"/>
      <c r="I45" s="36" t="s">
        <v>159</v>
      </c>
      <c r="J45" s="150">
        <v>0</v>
      </c>
      <c r="L45"/>
    </row>
    <row r="46" spans="3:12" ht="15.6" customHeight="1" x14ac:dyDescent="0.25">
      <c r="C46" s="35"/>
      <c r="I46" s="36" t="s">
        <v>160</v>
      </c>
      <c r="J46" s="150">
        <v>0</v>
      </c>
      <c r="L46"/>
    </row>
    <row r="47" spans="3:12" ht="15.6" customHeight="1" x14ac:dyDescent="0.2">
      <c r="C47" s="35"/>
      <c r="J47" s="150"/>
      <c r="L47" s="152"/>
    </row>
    <row r="48" spans="3:12" ht="15.6" customHeight="1" x14ac:dyDescent="0.25">
      <c r="C48" s="35"/>
      <c r="E48" s="37"/>
      <c r="F48" s="40"/>
      <c r="J48" s="150"/>
      <c r="L48" s="152"/>
    </row>
    <row r="49" spans="1:12" ht="15.6" customHeight="1" x14ac:dyDescent="0.2">
      <c r="C49" s="35"/>
      <c r="J49" s="150"/>
      <c r="L49" s="152"/>
    </row>
    <row r="50" spans="1:12" ht="15.6" customHeight="1" x14ac:dyDescent="0.2">
      <c r="C50" s="35"/>
      <c r="J50" s="150"/>
      <c r="L50" s="152"/>
    </row>
    <row r="51" spans="1:12" ht="15.6" customHeight="1" x14ac:dyDescent="0.2">
      <c r="C51" s="35"/>
      <c r="J51" s="150"/>
      <c r="L51" s="152"/>
    </row>
    <row r="52" spans="1:12" ht="15.6" customHeight="1" x14ac:dyDescent="0.2">
      <c r="C52" s="35"/>
      <c r="J52" s="150"/>
      <c r="L52" s="152"/>
    </row>
    <row r="53" spans="1:12" ht="15.6" customHeight="1" x14ac:dyDescent="0.2">
      <c r="J53" s="150"/>
      <c r="L53" s="152"/>
    </row>
    <row r="54" spans="1:12" ht="15.6" customHeight="1" x14ac:dyDescent="0.25">
      <c r="B54" s="37"/>
      <c r="C54" s="15"/>
      <c r="J54" s="150"/>
      <c r="L54" s="152"/>
    </row>
    <row r="55" spans="1:12" ht="15.6" customHeight="1" x14ac:dyDescent="0.25">
      <c r="A55" s="37"/>
      <c r="B55" s="37"/>
      <c r="C55" s="15"/>
      <c r="J55" s="150"/>
      <c r="L55" s="152"/>
    </row>
    <row r="56" spans="1:12" ht="15.6" customHeight="1" x14ac:dyDescent="0.25">
      <c r="A56" s="37"/>
      <c r="C56" s="35"/>
      <c r="J56" s="150"/>
      <c r="L56" s="152"/>
    </row>
    <row r="57" spans="1:12" ht="15.6" customHeight="1" x14ac:dyDescent="0.25">
      <c r="A57" s="37"/>
      <c r="C57" s="35"/>
      <c r="J57" s="150"/>
      <c r="L57" s="152"/>
    </row>
    <row r="58" spans="1:12" ht="15.6" customHeight="1" x14ac:dyDescent="0.25">
      <c r="A58" s="37"/>
      <c r="C58" s="35"/>
      <c r="J58" s="150"/>
      <c r="L58" s="152"/>
    </row>
    <row r="59" spans="1:12" ht="15.6" customHeight="1" x14ac:dyDescent="0.25">
      <c r="A59" s="37"/>
      <c r="C59" s="35"/>
      <c r="L59" s="152"/>
    </row>
    <row r="60" spans="1:12" ht="15.6" customHeight="1" x14ac:dyDescent="0.25">
      <c r="A60" s="37"/>
      <c r="C60" s="35"/>
      <c r="L60" s="152"/>
    </row>
    <row r="61" spans="1:12" ht="15.6" customHeight="1" x14ac:dyDescent="0.25">
      <c r="A61" s="37"/>
      <c r="C61" s="15"/>
      <c r="L61" s="152"/>
    </row>
    <row r="62" spans="1:12" ht="15.6" customHeight="1" x14ac:dyDescent="0.25">
      <c r="A62" s="37"/>
      <c r="C62" s="35"/>
      <c r="L62" s="152"/>
    </row>
    <row r="63" spans="1:12" ht="15.6" customHeight="1" x14ac:dyDescent="0.25">
      <c r="A63" s="37"/>
      <c r="C63" s="35"/>
      <c r="L63" s="152"/>
    </row>
    <row r="64" spans="1:12" ht="15.6" customHeight="1" x14ac:dyDescent="0.25">
      <c r="A64" s="37"/>
      <c r="C64" s="35"/>
    </row>
    <row r="65" spans="1:3" ht="15.6" customHeight="1" x14ac:dyDescent="0.25">
      <c r="A65" s="37"/>
      <c r="C65" s="35"/>
    </row>
    <row r="66" spans="1:3" ht="15.6" customHeight="1" x14ac:dyDescent="0.25">
      <c r="A66" s="37"/>
      <c r="C66" s="35"/>
    </row>
    <row r="67" spans="1:3" ht="15.6" customHeight="1" x14ac:dyDescent="0.25">
      <c r="A67" s="37"/>
      <c r="C67" s="35"/>
    </row>
    <row r="68" spans="1:3" ht="15.6" customHeight="1" x14ac:dyDescent="0.25">
      <c r="A68" s="37"/>
      <c r="C68" s="15"/>
    </row>
    <row r="69" spans="1:3" ht="15.6" customHeight="1" x14ac:dyDescent="0.25">
      <c r="A69" s="37"/>
      <c r="C69" s="35"/>
    </row>
    <row r="70" spans="1:3" ht="15.6" customHeight="1" x14ac:dyDescent="0.25">
      <c r="A70" s="37"/>
      <c r="C70" s="35"/>
    </row>
    <row r="71" spans="1:3" ht="15.6" customHeight="1" x14ac:dyDescent="0.25">
      <c r="A71" s="37"/>
      <c r="C71" s="35"/>
    </row>
    <row r="72" spans="1:3" ht="15.6" customHeight="1" x14ac:dyDescent="0.25">
      <c r="A72" s="37"/>
      <c r="C72" s="35"/>
    </row>
    <row r="73" spans="1:3" ht="15.6" customHeight="1" x14ac:dyDescent="0.25">
      <c r="A73" s="37"/>
      <c r="C73" s="35"/>
    </row>
    <row r="74" spans="1:3" ht="15.6" customHeight="1" x14ac:dyDescent="0.25">
      <c r="A74" s="37"/>
      <c r="C74" s="15"/>
    </row>
    <row r="75" spans="1:3" ht="15.6" customHeight="1" x14ac:dyDescent="0.25">
      <c r="A75" s="37"/>
      <c r="C75" s="35"/>
    </row>
    <row r="76" spans="1:3" ht="15.6" customHeight="1" x14ac:dyDescent="0.25">
      <c r="A76" s="37"/>
      <c r="C76" s="35"/>
    </row>
    <row r="77" spans="1:3" ht="15.6" customHeight="1" x14ac:dyDescent="0.25">
      <c r="A77" s="37"/>
      <c r="B77" s="37"/>
      <c r="C77" s="15"/>
    </row>
    <row r="78" spans="1:3" ht="15.6" customHeight="1" x14ac:dyDescent="0.25">
      <c r="A78" s="37"/>
      <c r="C78" s="35"/>
    </row>
    <row r="79" spans="1:3" ht="15.6" customHeight="1" x14ac:dyDescent="0.25">
      <c r="A79" s="37"/>
      <c r="C79" s="35"/>
    </row>
    <row r="80" spans="1:3" ht="15.6" customHeight="1" x14ac:dyDescent="0.25">
      <c r="A80" s="37"/>
      <c r="C80" s="35"/>
    </row>
    <row r="81" spans="1:4" ht="15.6" customHeight="1" x14ac:dyDescent="0.25">
      <c r="A81" s="37"/>
      <c r="C81" s="35"/>
    </row>
    <row r="82" spans="1:4" ht="15.6" customHeight="1" x14ac:dyDescent="0.25">
      <c r="A82" s="37"/>
      <c r="C82" s="35"/>
    </row>
    <row r="83" spans="1:4" ht="15.6" customHeight="1" x14ac:dyDescent="0.25">
      <c r="A83" s="37"/>
      <c r="C83" s="35"/>
    </row>
    <row r="84" spans="1:4" ht="15.6" customHeight="1" x14ac:dyDescent="0.25">
      <c r="A84" s="37"/>
      <c r="C84" s="35"/>
    </row>
    <row r="85" spans="1:4" ht="15.6" customHeight="1" x14ac:dyDescent="0.25">
      <c r="A85" s="37"/>
      <c r="C85" s="15"/>
    </row>
    <row r="86" spans="1:4" ht="15.6" customHeight="1" x14ac:dyDescent="0.25">
      <c r="A86" s="37"/>
      <c r="B86" s="37"/>
      <c r="C86" s="15"/>
    </row>
    <row r="87" spans="1:4" ht="15.6" customHeight="1" x14ac:dyDescent="0.25">
      <c r="A87" s="37"/>
      <c r="C87" s="35"/>
    </row>
    <row r="88" spans="1:4" ht="15.6" customHeight="1" x14ac:dyDescent="0.25">
      <c r="A88" s="37"/>
      <c r="C88" s="35"/>
    </row>
    <row r="89" spans="1:4" ht="15.6" customHeight="1" x14ac:dyDescent="0.25">
      <c r="A89" s="37"/>
      <c r="C89" s="35"/>
    </row>
    <row r="90" spans="1:4" ht="15.6" customHeight="1" x14ac:dyDescent="0.25">
      <c r="A90" s="37"/>
      <c r="C90" s="35"/>
    </row>
    <row r="91" spans="1:4" ht="15.6" customHeight="1" x14ac:dyDescent="0.25">
      <c r="A91" s="37"/>
      <c r="C91" s="15"/>
    </row>
    <row r="92" spans="1:4" ht="15.6" customHeight="1" x14ac:dyDescent="0.25">
      <c r="A92" s="37"/>
      <c r="C92" s="35"/>
      <c r="D92" s="35"/>
    </row>
    <row r="93" spans="1:4" ht="15.6" customHeight="1" x14ac:dyDescent="0.25">
      <c r="A93" s="37"/>
      <c r="C93" s="35"/>
      <c r="D93" s="35"/>
    </row>
    <row r="94" spans="1:4" ht="15.6" customHeight="1" x14ac:dyDescent="0.25">
      <c r="A94" s="37"/>
      <c r="C94" s="35"/>
      <c r="D94" s="35"/>
    </row>
    <row r="95" spans="1:4" ht="15.6" customHeight="1" x14ac:dyDescent="0.25">
      <c r="A95" s="37"/>
      <c r="C95" s="35"/>
      <c r="D95" s="35"/>
    </row>
    <row r="96" spans="1:4" ht="15.6" customHeight="1" x14ac:dyDescent="0.25">
      <c r="A96" s="37"/>
      <c r="C96" s="35"/>
    </row>
    <row r="97" spans="1:11" ht="15.6" customHeight="1" x14ac:dyDescent="0.25">
      <c r="A97" s="37"/>
      <c r="C97" s="15"/>
    </row>
    <row r="98" spans="1:11" ht="15.6" customHeight="1" x14ac:dyDescent="0.25">
      <c r="A98" s="37"/>
      <c r="C98" s="35"/>
    </row>
    <row r="99" spans="1:11" ht="15.6" customHeight="1" x14ac:dyDescent="0.25">
      <c r="A99" s="37"/>
      <c r="C99" s="35"/>
      <c r="G99" s="35"/>
      <c r="H99" s="35"/>
      <c r="I99" s="35"/>
      <c r="J99" s="35"/>
      <c r="K99" s="35"/>
    </row>
    <row r="100" spans="1:11" ht="15.6" customHeight="1" x14ac:dyDescent="0.25">
      <c r="A100" s="37"/>
      <c r="C100" s="35"/>
      <c r="G100" s="35"/>
      <c r="H100" s="35"/>
      <c r="I100" s="35"/>
      <c r="J100" s="35"/>
      <c r="K100" s="35"/>
    </row>
    <row r="101" spans="1:11" ht="15.6" customHeight="1" x14ac:dyDescent="0.25">
      <c r="A101" s="37"/>
      <c r="B101" s="37"/>
      <c r="C101" s="15"/>
      <c r="G101" s="35"/>
      <c r="H101" s="35"/>
      <c r="I101" s="35"/>
      <c r="J101" s="35"/>
      <c r="K101" s="35"/>
    </row>
    <row r="102" spans="1:11" ht="15.6" customHeight="1" x14ac:dyDescent="0.25">
      <c r="A102" s="37"/>
      <c r="C102" s="35"/>
      <c r="F102" s="15"/>
      <c r="G102" s="35"/>
      <c r="H102" s="35"/>
      <c r="I102" s="35"/>
      <c r="J102" s="35"/>
      <c r="K102" s="35"/>
    </row>
    <row r="103" spans="1:11" ht="15.6" customHeight="1" x14ac:dyDescent="0.25">
      <c r="A103" s="37"/>
      <c r="C103" s="35"/>
      <c r="F103" s="35"/>
      <c r="G103" s="35"/>
      <c r="H103" s="35"/>
      <c r="I103" s="35"/>
      <c r="J103" s="35"/>
      <c r="K103" s="35"/>
    </row>
    <row r="104" spans="1:11" ht="15.6" customHeight="1" x14ac:dyDescent="0.25">
      <c r="A104" s="37"/>
      <c r="C104" s="35"/>
      <c r="F104" s="35"/>
      <c r="G104" s="35"/>
      <c r="H104" s="35"/>
      <c r="I104" s="35"/>
      <c r="J104" s="35"/>
      <c r="K104" s="35"/>
    </row>
    <row r="105" spans="1:11" ht="15.6" customHeight="1" x14ac:dyDescent="0.25">
      <c r="A105" s="37"/>
      <c r="C105" s="35"/>
      <c r="F105" s="35"/>
      <c r="G105" s="35"/>
      <c r="H105" s="35"/>
      <c r="I105" s="35"/>
      <c r="J105" s="35"/>
      <c r="K105" s="35"/>
    </row>
    <row r="106" spans="1:11" ht="15.6" customHeight="1" x14ac:dyDescent="0.25">
      <c r="A106" s="37"/>
      <c r="B106" s="37"/>
      <c r="C106" s="15"/>
      <c r="F106" s="35"/>
      <c r="G106" s="35"/>
      <c r="H106" s="35"/>
      <c r="I106" s="35"/>
      <c r="J106" s="35"/>
      <c r="K106" s="35"/>
    </row>
    <row r="107" spans="1:11" ht="15.6" customHeight="1" x14ac:dyDescent="0.25">
      <c r="A107" s="37"/>
      <c r="C107" s="35"/>
      <c r="F107" s="35"/>
      <c r="G107" s="35"/>
      <c r="H107" s="35"/>
      <c r="I107" s="35"/>
      <c r="J107" s="35"/>
      <c r="K107" s="35"/>
    </row>
    <row r="108" spans="1:11" ht="15.6" customHeight="1" x14ac:dyDescent="0.25">
      <c r="A108" s="37"/>
      <c r="C108" s="35"/>
      <c r="F108" s="35"/>
      <c r="G108" s="35"/>
      <c r="H108" s="35"/>
      <c r="I108" s="35"/>
      <c r="J108" s="35"/>
      <c r="K108" s="35"/>
    </row>
    <row r="109" spans="1:11" ht="15.6" customHeight="1" x14ac:dyDescent="0.25">
      <c r="A109" s="37"/>
      <c r="C109" s="35"/>
    </row>
    <row r="110" spans="1:11" ht="15.6" customHeight="1" x14ac:dyDescent="0.25">
      <c r="A110" s="37"/>
      <c r="B110" s="52"/>
      <c r="C110" s="15"/>
    </row>
    <row r="111" spans="1:11" ht="15.75" x14ac:dyDescent="0.2">
      <c r="C111" s="40"/>
    </row>
    <row r="112" spans="1:11" x14ac:dyDescent="0.2">
      <c r="C112" s="35"/>
    </row>
    <row r="113" spans="2:3" x14ac:dyDescent="0.2">
      <c r="C113" s="35"/>
    </row>
    <row r="114" spans="2:3" ht="15.75" x14ac:dyDescent="0.25">
      <c r="B114" s="37"/>
      <c r="C114" s="40"/>
    </row>
    <row r="115" spans="2:3" x14ac:dyDescent="0.2">
      <c r="C115" s="35"/>
    </row>
    <row r="116" spans="2:3" x14ac:dyDescent="0.2">
      <c r="C116" s="35"/>
    </row>
    <row r="117" spans="2:3" x14ac:dyDescent="0.2">
      <c r="C117" s="35"/>
    </row>
    <row r="118" spans="2:3" x14ac:dyDescent="0.2">
      <c r="C118" s="35"/>
    </row>
    <row r="119" spans="2:3" ht="15.75" x14ac:dyDescent="0.25">
      <c r="B119" s="37"/>
      <c r="C119" s="40"/>
    </row>
    <row r="120" spans="2:3" x14ac:dyDescent="0.2">
      <c r="C120" s="35"/>
    </row>
    <row r="121" spans="2:3" x14ac:dyDescent="0.2">
      <c r="C121" s="35"/>
    </row>
    <row r="122" spans="2:3" x14ac:dyDescent="0.2">
      <c r="C122" s="35"/>
    </row>
    <row r="123" spans="2:3" x14ac:dyDescent="0.2">
      <c r="C123" s="35"/>
    </row>
    <row r="124" spans="2:3" x14ac:dyDescent="0.2">
      <c r="C124" s="35"/>
    </row>
    <row r="125" spans="2:3" x14ac:dyDescent="0.2">
      <c r="C125" s="35"/>
    </row>
    <row r="126" spans="2:3" x14ac:dyDescent="0.2">
      <c r="C126" s="35"/>
    </row>
    <row r="127" spans="2:3" ht="15.75" x14ac:dyDescent="0.2">
      <c r="C127" s="40"/>
    </row>
    <row r="128" spans="2:3" x14ac:dyDescent="0.2">
      <c r="C128" s="35"/>
    </row>
    <row r="129" spans="3:3" x14ac:dyDescent="0.2">
      <c r="C129" s="35"/>
    </row>
    <row r="130" spans="3:3" x14ac:dyDescent="0.2">
      <c r="C130" s="35"/>
    </row>
    <row r="131" spans="3:3" x14ac:dyDescent="0.2">
      <c r="C131" s="35"/>
    </row>
    <row r="132" spans="3:3" x14ac:dyDescent="0.2">
      <c r="C132" s="35"/>
    </row>
    <row r="133" spans="3:3" x14ac:dyDescent="0.2">
      <c r="C133" s="35"/>
    </row>
    <row r="134" spans="3:3" x14ac:dyDescent="0.2">
      <c r="C134" s="35"/>
    </row>
    <row r="135" spans="3:3" x14ac:dyDescent="0.2">
      <c r="C135" s="35"/>
    </row>
    <row r="136" spans="3:3" x14ac:dyDescent="0.2">
      <c r="C136" s="35"/>
    </row>
    <row r="137" spans="3:3" ht="15.75" x14ac:dyDescent="0.2">
      <c r="C137" s="15"/>
    </row>
    <row r="138" spans="3:3" ht="15.75" x14ac:dyDescent="0.2">
      <c r="C138" s="40"/>
    </row>
    <row r="139" spans="3:3" x14ac:dyDescent="0.2">
      <c r="C139" s="35"/>
    </row>
    <row r="140" spans="3:3" x14ac:dyDescent="0.2">
      <c r="C140" s="35"/>
    </row>
    <row r="141" spans="3:3" ht="15.75" x14ac:dyDescent="0.2">
      <c r="C141" s="40"/>
    </row>
    <row r="142" spans="3:3" x14ac:dyDescent="0.2">
      <c r="C142" s="35"/>
    </row>
    <row r="143" spans="3:3" x14ac:dyDescent="0.2">
      <c r="C143" s="35"/>
    </row>
    <row r="144" spans="3:3" x14ac:dyDescent="0.2">
      <c r="C144" s="35"/>
    </row>
    <row r="145" spans="3:3" ht="15.75" x14ac:dyDescent="0.2">
      <c r="C145" s="40"/>
    </row>
    <row r="146" spans="3:3" x14ac:dyDescent="0.2">
      <c r="C146" s="35"/>
    </row>
    <row r="147" spans="3:3" x14ac:dyDescent="0.2">
      <c r="C147" s="35"/>
    </row>
    <row r="148" spans="3:3" x14ac:dyDescent="0.2">
      <c r="C148" s="35"/>
    </row>
    <row r="149" spans="3:3" x14ac:dyDescent="0.2">
      <c r="C149" s="35"/>
    </row>
    <row r="150" spans="3:3" x14ac:dyDescent="0.2">
      <c r="C150" s="35"/>
    </row>
    <row r="151" spans="3:3" x14ac:dyDescent="0.2">
      <c r="C151" s="35"/>
    </row>
    <row r="152" spans="3:3" ht="15.75" x14ac:dyDescent="0.2">
      <c r="C152" s="15"/>
    </row>
    <row r="153" spans="3:3" x14ac:dyDescent="0.2">
      <c r="C153" s="35"/>
    </row>
    <row r="154" spans="3:3" x14ac:dyDescent="0.2">
      <c r="C154" s="35"/>
    </row>
    <row r="155" spans="3:3" x14ac:dyDescent="0.2">
      <c r="C155" s="35"/>
    </row>
    <row r="156" spans="3:3" x14ac:dyDescent="0.2">
      <c r="C156" s="35"/>
    </row>
    <row r="157" spans="3:3" x14ac:dyDescent="0.2">
      <c r="C157" s="35"/>
    </row>
    <row r="158" spans="3:3" x14ac:dyDescent="0.2">
      <c r="C158" s="35"/>
    </row>
    <row r="159" spans="3:3" x14ac:dyDescent="0.2">
      <c r="C159" s="35"/>
    </row>
    <row r="160" spans="3:3" x14ac:dyDescent="0.2">
      <c r="C160" s="35"/>
    </row>
    <row r="161" spans="3:3" x14ac:dyDescent="0.2">
      <c r="C161" s="35"/>
    </row>
    <row r="162" spans="3:3" x14ac:dyDescent="0.2">
      <c r="C162" s="35"/>
    </row>
    <row r="163" spans="3:3" ht="15.75" x14ac:dyDescent="0.2">
      <c r="C163" s="15"/>
    </row>
    <row r="164" spans="3:3" x14ac:dyDescent="0.2">
      <c r="C164" s="35"/>
    </row>
    <row r="165" spans="3:3" x14ac:dyDescent="0.2">
      <c r="C165" s="35"/>
    </row>
    <row r="166" spans="3:3" x14ac:dyDescent="0.2">
      <c r="C166" s="35"/>
    </row>
    <row r="169" spans="3:3" x14ac:dyDescent="0.2">
      <c r="C169" s="35"/>
    </row>
    <row r="173" spans="3:3" ht="15.75" x14ac:dyDescent="0.2">
      <c r="C173" s="15"/>
    </row>
    <row r="174" spans="3:3" ht="15.75" x14ac:dyDescent="0.2">
      <c r="C174" s="15"/>
    </row>
    <row r="176" spans="3:3" x14ac:dyDescent="0.2">
      <c r="C176" s="35"/>
    </row>
    <row r="178" spans="3:3" ht="15.75" x14ac:dyDescent="0.2">
      <c r="C178" s="15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1" t="s">
        <v>28</v>
      </c>
      <c r="B1" s="251"/>
      <c r="C1" s="251"/>
      <c r="D1" s="251"/>
      <c r="E1" s="251"/>
      <c r="F1" s="251"/>
      <c r="G1" s="251"/>
      <c r="H1" s="56"/>
    </row>
    <row r="2" spans="1:9" s="55" customFormat="1" ht="21" x14ac:dyDescent="0.25">
      <c r="A2" s="252" t="s">
        <v>43</v>
      </c>
      <c r="B2" s="252"/>
      <c r="C2" s="252"/>
      <c r="D2" s="252"/>
      <c r="E2" s="252"/>
      <c r="F2" s="252"/>
      <c r="G2" s="252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3" t="s">
        <v>45</v>
      </c>
      <c r="C6" s="254"/>
      <c r="D6" s="255"/>
      <c r="E6" s="253" t="s">
        <v>44</v>
      </c>
      <c r="F6" s="253" t="s">
        <v>40</v>
      </c>
      <c r="G6" s="259" t="s">
        <v>41</v>
      </c>
      <c r="H6" s="55"/>
      <c r="I6" s="55"/>
    </row>
    <row r="7" spans="1:9" ht="23.45" customHeight="1" thickBot="1" x14ac:dyDescent="0.3">
      <c r="A7" s="60" t="s">
        <v>29</v>
      </c>
      <c r="B7" s="256"/>
      <c r="C7" s="257"/>
      <c r="D7" s="258"/>
      <c r="E7" s="256"/>
      <c r="F7" s="256"/>
      <c r="G7" s="260"/>
      <c r="H7" s="55"/>
      <c r="I7" s="55"/>
    </row>
    <row r="8" spans="1:9" ht="40.5" customHeight="1" thickBot="1" x14ac:dyDescent="0.3">
      <c r="A8" s="59">
        <v>1</v>
      </c>
      <c r="B8" s="248"/>
      <c r="C8" s="249"/>
      <c r="D8" s="250"/>
      <c r="E8" s="83"/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48"/>
      <c r="C9" s="249"/>
      <c r="D9" s="250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48"/>
      <c r="C10" s="249"/>
      <c r="D10" s="250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48"/>
      <c r="C11" s="249"/>
      <c r="D11" s="250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48"/>
      <c r="C14" s="249"/>
      <c r="D14" s="250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48"/>
      <c r="C15" s="249"/>
      <c r="D15" s="250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48"/>
      <c r="C16" s="249"/>
      <c r="D16" s="250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48"/>
      <c r="C17" s="249"/>
      <c r="D17" s="250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48"/>
      <c r="C18" s="249"/>
      <c r="D18" s="250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48"/>
      <c r="C19" s="249"/>
      <c r="D19" s="250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48"/>
      <c r="C20" s="249"/>
      <c r="D20" s="250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48"/>
      <c r="C21" s="249"/>
      <c r="D21" s="250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48"/>
      <c r="C28" s="249"/>
      <c r="D28" s="250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1" t="s">
        <v>28</v>
      </c>
      <c r="B1" s="251"/>
      <c r="C1" s="251"/>
      <c r="D1" s="251"/>
      <c r="E1" s="251"/>
      <c r="F1" s="251"/>
      <c r="G1" s="251"/>
      <c r="H1" s="56"/>
    </row>
    <row r="2" spans="1:9" s="55" customFormat="1" ht="21" x14ac:dyDescent="0.25">
      <c r="A2" s="252" t="s">
        <v>43</v>
      </c>
      <c r="B2" s="252"/>
      <c r="C2" s="252"/>
      <c r="D2" s="252"/>
      <c r="E2" s="252"/>
      <c r="F2" s="252"/>
      <c r="G2" s="252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3" t="s">
        <v>45</v>
      </c>
      <c r="C6" s="254"/>
      <c r="D6" s="255"/>
      <c r="E6" s="253" t="s">
        <v>44</v>
      </c>
      <c r="F6" s="253" t="s">
        <v>40</v>
      </c>
      <c r="G6" s="259" t="s">
        <v>41</v>
      </c>
      <c r="H6" s="55"/>
      <c r="I6" s="55"/>
    </row>
    <row r="7" spans="1:9" ht="23.45" customHeight="1" thickBot="1" x14ac:dyDescent="0.3">
      <c r="A7" s="60" t="s">
        <v>29</v>
      </c>
      <c r="B7" s="256"/>
      <c r="C7" s="257"/>
      <c r="D7" s="258"/>
      <c r="E7" s="256"/>
      <c r="F7" s="256"/>
      <c r="G7" s="260"/>
      <c r="H7" s="55"/>
      <c r="I7" s="55"/>
    </row>
    <row r="8" spans="1:9" ht="40.5" customHeight="1" thickBot="1" x14ac:dyDescent="0.3">
      <c r="A8" s="59">
        <v>1</v>
      </c>
      <c r="B8" s="248" t="s">
        <v>46</v>
      </c>
      <c r="C8" s="249"/>
      <c r="D8" s="250"/>
      <c r="E8" s="83">
        <v>350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48"/>
      <c r="C9" s="249"/>
      <c r="D9" s="250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48"/>
      <c r="C10" s="249"/>
      <c r="D10" s="250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48"/>
      <c r="C11" s="249"/>
      <c r="D11" s="250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48"/>
      <c r="C14" s="249"/>
      <c r="D14" s="250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48"/>
      <c r="C15" s="249"/>
      <c r="D15" s="250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48"/>
      <c r="C16" s="249"/>
      <c r="D16" s="250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48"/>
      <c r="C17" s="249"/>
      <c r="D17" s="250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48"/>
      <c r="C18" s="249"/>
      <c r="D18" s="250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48"/>
      <c r="C19" s="249"/>
      <c r="D19" s="250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48"/>
      <c r="C20" s="249"/>
      <c r="D20" s="250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48"/>
      <c r="C21" s="249"/>
      <c r="D21" s="250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48"/>
      <c r="C28" s="249"/>
      <c r="D28" s="250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  <mergeCell ref="A1:G1"/>
    <mergeCell ref="A2:G2"/>
    <mergeCell ref="B6:D7"/>
    <mergeCell ref="F6:F7"/>
    <mergeCell ref="G6:G7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1" t="s">
        <v>28</v>
      </c>
      <c r="B1" s="251"/>
      <c r="C1" s="251"/>
      <c r="D1" s="251"/>
      <c r="E1" s="251"/>
      <c r="F1" s="251"/>
      <c r="G1" s="251"/>
      <c r="H1" s="56"/>
    </row>
    <row r="2" spans="1:9" s="55" customFormat="1" ht="21" x14ac:dyDescent="0.25">
      <c r="A2" s="252" t="s">
        <v>43</v>
      </c>
      <c r="B2" s="252"/>
      <c r="C2" s="252"/>
      <c r="D2" s="252"/>
      <c r="E2" s="252"/>
      <c r="F2" s="252"/>
      <c r="G2" s="252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3" t="s">
        <v>45</v>
      </c>
      <c r="C6" s="254"/>
      <c r="D6" s="255"/>
      <c r="E6" s="253" t="s">
        <v>44</v>
      </c>
      <c r="F6" s="253" t="s">
        <v>40</v>
      </c>
      <c r="G6" s="259" t="s">
        <v>41</v>
      </c>
      <c r="H6" s="55"/>
      <c r="I6" s="55"/>
    </row>
    <row r="7" spans="1:9" ht="23.45" customHeight="1" thickBot="1" x14ac:dyDescent="0.3">
      <c r="A7" s="60" t="s">
        <v>29</v>
      </c>
      <c r="B7" s="256"/>
      <c r="C7" s="257"/>
      <c r="D7" s="258"/>
      <c r="E7" s="256"/>
      <c r="F7" s="256"/>
      <c r="G7" s="260"/>
      <c r="H7" s="55"/>
      <c r="I7" s="55"/>
    </row>
    <row r="8" spans="1:9" ht="40.5" customHeight="1" thickBot="1" x14ac:dyDescent="0.3">
      <c r="A8" s="59">
        <v>1</v>
      </c>
      <c r="B8" s="248" t="s">
        <v>47</v>
      </c>
      <c r="C8" s="249"/>
      <c r="D8" s="250"/>
      <c r="E8" s="83">
        <v>700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48"/>
      <c r="C9" s="249"/>
      <c r="D9" s="250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48"/>
      <c r="C10" s="249"/>
      <c r="D10" s="250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48"/>
      <c r="C11" s="249"/>
      <c r="D11" s="250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48"/>
      <c r="C14" s="249"/>
      <c r="D14" s="250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48"/>
      <c r="C15" s="249"/>
      <c r="D15" s="250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48"/>
      <c r="C16" s="249"/>
      <c r="D16" s="250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48"/>
      <c r="C17" s="249"/>
      <c r="D17" s="250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48"/>
      <c r="C18" s="249"/>
      <c r="D18" s="250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48"/>
      <c r="C19" s="249"/>
      <c r="D19" s="250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48"/>
      <c r="C20" s="249"/>
      <c r="D20" s="250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48"/>
      <c r="C21" s="249"/>
      <c r="D21" s="250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48"/>
      <c r="C28" s="249"/>
      <c r="D28" s="250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29</vt:i4>
      </vt:variant>
    </vt:vector>
  </HeadingPairs>
  <TitlesOfParts>
    <vt:vector size="42" baseType="lpstr">
      <vt:lpstr>Quarterly Statement</vt:lpstr>
      <vt:lpstr>Quarterly Analysis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Accounts</vt:lpstr>
      <vt:lpstr>BankAccounts</vt:lpstr>
      <vt:lpstr>BegBal1</vt:lpstr>
      <vt:lpstr>BegBal2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PrudentPct</vt:lpstr>
      <vt:lpstr>QtrAvgRange</vt:lpstr>
      <vt:lpstr>QtrRollingAvgPct</vt:lpstr>
      <vt:lpstr>QtrsAvg</vt:lpstr>
      <vt:lpstr>QtrSumAvg</vt:lpstr>
      <vt:lpstr>QtrTitle</vt:lpstr>
      <vt:lpstr>QtrTop</vt:lpstr>
      <vt:lpstr>Reserve</vt:lpstr>
      <vt:lpstr>SumAccount</vt:lpstr>
      <vt:lpstr>SumBank</vt:lpstr>
      <vt:lpstr>SumExp</vt:lpstr>
      <vt:lpstr>SumMonth</vt:lpstr>
      <vt:lpstr>SumMonthNum</vt:lpstr>
      <vt:lpstr>SumQ1</vt:lpstr>
      <vt:lpstr>SumQ2</vt:lpstr>
      <vt:lpstr>SumQ3</vt:lpstr>
      <vt:lpstr>SumQ4</vt:lpstr>
      <vt:lpstr>SumRevenue</vt:lpstr>
    </vt:vector>
  </TitlesOfParts>
  <Company>The Bon-Ton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jakenetadmin@yahoo.com</cp:lastModifiedBy>
  <cp:lastPrinted>2025-01-10T01:45:00Z</cp:lastPrinted>
  <dcterms:created xsi:type="dcterms:W3CDTF">2013-11-11T13:58:06Z</dcterms:created>
  <dcterms:modified xsi:type="dcterms:W3CDTF">2025-01-10T03:13:43Z</dcterms:modified>
</cp:coreProperties>
</file>